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E:\FORMULA RATES SPP\Annual Update AEP West Trans\True Ups\2024 Annual Update\Filed Documents\"/>
    </mc:Choice>
  </mc:AlternateContent>
  <xr:revisionPtr revIDLastSave="0" documentId="8_{94616316-13E9-421B-934F-44FDE2ECA8D7}" xr6:coauthVersionLast="47" xr6:coauthVersionMax="47" xr10:uidLastSave="{00000000-0000-0000-0000-000000000000}"/>
  <bookViews>
    <workbookView xWindow="52680" yWindow="-120" windowWidth="24240" windowHeight="13020" activeTab="2" xr2:uid="{00000000-000D-0000-FFFF-FFFF00000000}"/>
  </bookViews>
  <sheets>
    <sheet name="Instructions" sheetId="33" r:id="rId1"/>
    <sheet name="2021 NOLC Refund Detail" sheetId="34" r:id="rId2"/>
    <sheet name="Summary" sheetId="29" r:id="rId3"/>
    <sheet name="Pivot" sheetId="31" r:id="rId4"/>
    <sheet name="Transactions" sheetId="18" r:id="rId5"/>
  </sheets>
  <definedNames>
    <definedName name="_xlnm._FilterDatabase" localSheetId="4" hidden="1">Transactions!$A$15:$R$211</definedName>
    <definedName name="AS1_1999" localSheetId="4">Transactions!$C$19:$J$26</definedName>
    <definedName name="AS1_1999">#REF!</definedName>
    <definedName name="Avg_Annual_FERC_Rate">#REF!</definedName>
    <definedName name="etec">#REF!</definedName>
    <definedName name="fake">#REF!</definedName>
    <definedName name="greenbelt">#REF!</definedName>
    <definedName name="janetec">#REF!</definedName>
    <definedName name="lighthouse">#REF!</definedName>
    <definedName name="ntec">#REF!</definedName>
    <definedName name="ompa">#REF!</definedName>
    <definedName name="_xlnm.Print_Area" localSheetId="0">Instructions!$A$1:$R$19</definedName>
    <definedName name="_xlnm.Print_Area" localSheetId="2">Summary!$C$1:$I$40</definedName>
    <definedName name="_xlnm.Print_Area" localSheetId="4">Transactions!$A$1:$R$211</definedName>
    <definedName name="_xlnm.Print_Titles" localSheetId="3">Pivot!$3:$4</definedName>
    <definedName name="_xlnm.Print_Titles" localSheetId="4">Transactions!$B:$E,Transactions!$1:$19</definedName>
    <definedName name="ss1et">#REF!</definedName>
    <definedName name="ss1gb">#REF!</definedName>
    <definedName name="ss1lh">#REF!</definedName>
    <definedName name="ss1nt">#REF!</definedName>
    <definedName name="ss1op">#REF!</definedName>
    <definedName name="ss1tx">#REF!</definedName>
    <definedName name="ss1wf">#REF!</definedName>
    <definedName name="ss2et">#REF!</definedName>
    <definedName name="ss2etc">#REF!</definedName>
    <definedName name="ss2gb">#REF!</definedName>
    <definedName name="ss2gbt">#REF!</definedName>
    <definedName name="ss2lh">#REF!</definedName>
    <definedName name="ss2lhs">#REF!</definedName>
    <definedName name="ss2nt">#REF!</definedName>
    <definedName name="ss2ntc">#REF!</definedName>
    <definedName name="ss2op">#REF!</definedName>
    <definedName name="ss2opm">#REF!</definedName>
    <definedName name="ss2tx">#REF!</definedName>
    <definedName name="ss2txl">#REF!</definedName>
    <definedName name="ss2wf">#REF!</definedName>
    <definedName name="ss3et">#REF!</definedName>
    <definedName name="ss3gb">#REF!</definedName>
    <definedName name="ss3lh">#REF!</definedName>
    <definedName name="ss3nt">#REF!</definedName>
    <definedName name="ss3op">#REF!</definedName>
    <definedName name="ss3tx">#REF!</definedName>
    <definedName name="ss3wf">#REF!</definedName>
    <definedName name="ss5et">#REF!</definedName>
    <definedName name="ss5gb">#REF!</definedName>
    <definedName name="ss5lh">#REF!</definedName>
    <definedName name="ss5nt">#REF!</definedName>
    <definedName name="ss5op">#REF!</definedName>
    <definedName name="ss5tx">#REF!</definedName>
    <definedName name="ss5wf">#REF!</definedName>
    <definedName name="ss6et">#REF!</definedName>
    <definedName name="ss6gb">#REF!</definedName>
    <definedName name="ss6lh">#REF!</definedName>
    <definedName name="ss6nt">#REF!</definedName>
    <definedName name="ss6op">#REF!</definedName>
    <definedName name="ss6tx">#REF!</definedName>
    <definedName name="ss6wf">#REF!</definedName>
    <definedName name="tbl_QtrPrimRat">#REF!</definedName>
    <definedName name="texla">#REF!</definedName>
  </definedNames>
  <calcPr calcId="191029" iterate="1"/>
  <pivotCaches>
    <pivotCache cacheId="6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34" l="1"/>
  <c r="C5" i="34"/>
  <c r="H22" i="29" s="1"/>
  <c r="B13" i="34"/>
  <c r="B4" i="34"/>
  <c r="G36" i="29"/>
  <c r="G27" i="29"/>
  <c r="G35" i="29"/>
  <c r="G21" i="29"/>
  <c r="G37" i="29"/>
  <c r="G33" i="29"/>
  <c r="G26" i="29"/>
  <c r="G32" i="29"/>
  <c r="G25" i="29"/>
  <c r="G22" i="29"/>
  <c r="G31" i="29"/>
  <c r="G24" i="29"/>
  <c r="G30" i="29"/>
  <c r="G23" i="29"/>
  <c r="G29" i="29"/>
  <c r="G28" i="29"/>
  <c r="D7" i="34" l="1"/>
  <c r="D10" i="34"/>
  <c r="D5" i="34"/>
  <c r="D15" i="34"/>
  <c r="D18" i="34"/>
  <c r="D12" i="34"/>
  <c r="E5" i="34"/>
  <c r="C10" i="34"/>
  <c r="H27" i="29" s="1"/>
  <c r="C20" i="34"/>
  <c r="H37" i="29" s="1"/>
  <c r="C15" i="34"/>
  <c r="H32" i="29" s="1"/>
  <c r="C18" i="34"/>
  <c r="H35" i="29" s="1"/>
  <c r="C13" i="34"/>
  <c r="H30" i="29" s="1"/>
  <c r="E2" i="34"/>
  <c r="C6" i="34"/>
  <c r="H23" i="29" s="1"/>
  <c r="D11" i="34"/>
  <c r="D16" i="34"/>
  <c r="C19" i="34"/>
  <c r="H36" i="29" s="1"/>
  <c r="D8" i="34"/>
  <c r="D6" i="34"/>
  <c r="C9" i="34"/>
  <c r="H26" i="29" s="1"/>
  <c r="C14" i="34"/>
  <c r="H31" i="29" s="1"/>
  <c r="D19" i="34"/>
  <c r="C8" i="34"/>
  <c r="H25" i="29" s="1"/>
  <c r="C16" i="34"/>
  <c r="H33" i="29" s="1"/>
  <c r="C4" i="34"/>
  <c r="H21" i="29" s="1"/>
  <c r="D9" i="34"/>
  <c r="C12" i="34"/>
  <c r="H29" i="29" s="1"/>
  <c r="D14" i="34"/>
  <c r="C11" i="34"/>
  <c r="H28" i="29" s="1"/>
  <c r="D13" i="34"/>
  <c r="D4" i="34"/>
  <c r="C7" i="34"/>
  <c r="H24" i="29" s="1"/>
  <c r="C5" i="29"/>
  <c r="D21" i="34" l="1"/>
  <c r="E15" i="34"/>
  <c r="E12" i="34"/>
  <c r="E20" i="34"/>
  <c r="E10" i="34"/>
  <c r="E11" i="34"/>
  <c r="E14" i="34"/>
  <c r="E19" i="34"/>
  <c r="E7" i="34"/>
  <c r="E16" i="34"/>
  <c r="E6" i="34"/>
  <c r="D17" i="34"/>
  <c r="D22" i="34" s="1"/>
  <c r="E13" i="34"/>
  <c r="C17" i="34"/>
  <c r="E4" i="34"/>
  <c r="E8" i="34"/>
  <c r="E9" i="34"/>
  <c r="C21" i="34"/>
  <c r="E18" i="34"/>
  <c r="L3" i="18"/>
  <c r="E17" i="34" l="1"/>
  <c r="E21" i="34"/>
  <c r="E22" i="34" s="1"/>
  <c r="C22" i="34"/>
  <c r="K1" i="18"/>
  <c r="B79" i="18"/>
  <c r="B78" i="18"/>
  <c r="B77" i="18"/>
  <c r="B76" i="18"/>
  <c r="B75" i="18"/>
  <c r="B74" i="18"/>
  <c r="B73" i="18"/>
  <c r="B72" i="18"/>
  <c r="B71" i="18"/>
  <c r="B70" i="18"/>
  <c r="B69" i="18"/>
  <c r="B68" i="18"/>
  <c r="E10" i="29"/>
  <c r="C1" i="29"/>
  <c r="B3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C42" i="18"/>
  <c r="C54" i="18" s="1"/>
  <c r="D38" i="18"/>
  <c r="D62" i="18" s="1"/>
  <c r="J19" i="18"/>
  <c r="D43" i="18"/>
  <c r="D67" i="18" s="1"/>
  <c r="D91" i="18" s="1"/>
  <c r="D103" i="18" s="1"/>
  <c r="D115" i="18" s="1"/>
  <c r="D127" i="18" s="1"/>
  <c r="D139" i="18" s="1"/>
  <c r="D151" i="18" s="1"/>
  <c r="D163" i="18" s="1"/>
  <c r="D175" i="18" s="1"/>
  <c r="B31" i="18"/>
  <c r="D42" i="18"/>
  <c r="D54" i="18" s="1"/>
  <c r="B30" i="18"/>
  <c r="D41" i="18"/>
  <c r="D65" i="18" s="1"/>
  <c r="B29" i="18"/>
  <c r="B28" i="18"/>
  <c r="C39" i="18"/>
  <c r="C51" i="18" s="1"/>
  <c r="D39" i="18"/>
  <c r="D51" i="18" s="1"/>
  <c r="B27" i="18"/>
  <c r="B26" i="18"/>
  <c r="B25" i="18"/>
  <c r="B24" i="18"/>
  <c r="B23" i="18"/>
  <c r="B22" i="18"/>
  <c r="B21" i="18"/>
  <c r="D32" i="18"/>
  <c r="D44" i="18" s="1"/>
  <c r="B16" i="18"/>
  <c r="J1" i="18"/>
  <c r="C43" i="18"/>
  <c r="C55" i="18" s="1"/>
  <c r="B175" i="18"/>
  <c r="B174" i="18"/>
  <c r="B173" i="18"/>
  <c r="B172" i="18"/>
  <c r="B171" i="18"/>
  <c r="C38" i="18"/>
  <c r="C50" i="18" s="1"/>
  <c r="B170" i="18"/>
  <c r="C37" i="18"/>
  <c r="C49" i="18" s="1"/>
  <c r="B169" i="18"/>
  <c r="B168" i="18"/>
  <c r="B167" i="18"/>
  <c r="B166" i="18"/>
  <c r="C33" i="18"/>
  <c r="C45" i="18" s="1"/>
  <c r="B165" i="18"/>
  <c r="C32" i="18"/>
  <c r="C56" i="18" s="1"/>
  <c r="B164" i="18"/>
  <c r="B211" i="18"/>
  <c r="B210" i="18"/>
  <c r="B209" i="18"/>
  <c r="B208" i="18"/>
  <c r="B207" i="18"/>
  <c r="B206" i="18"/>
  <c r="B205" i="18"/>
  <c r="B204" i="18"/>
  <c r="B203" i="18"/>
  <c r="B202" i="18"/>
  <c r="B201" i="18"/>
  <c r="B200" i="18"/>
  <c r="B199" i="18"/>
  <c r="B198" i="18"/>
  <c r="B197" i="18"/>
  <c r="B196" i="18"/>
  <c r="B195" i="18"/>
  <c r="B194" i="18"/>
  <c r="B193" i="18"/>
  <c r="B192" i="18"/>
  <c r="B191" i="18"/>
  <c r="B190" i="18"/>
  <c r="B189" i="18"/>
  <c r="B188" i="18"/>
  <c r="B187" i="18"/>
  <c r="B186" i="18"/>
  <c r="B185" i="18"/>
  <c r="B184" i="18"/>
  <c r="B183" i="18"/>
  <c r="B182" i="18"/>
  <c r="B181" i="18"/>
  <c r="B180" i="18"/>
  <c r="B179" i="18"/>
  <c r="B178" i="18"/>
  <c r="B177" i="18"/>
  <c r="B176" i="18"/>
  <c r="B163" i="18"/>
  <c r="B162" i="18"/>
  <c r="B161" i="18"/>
  <c r="B160" i="18"/>
  <c r="B159" i="18"/>
  <c r="B158" i="18"/>
  <c r="B157" i="18"/>
  <c r="B156" i="18"/>
  <c r="B155" i="18"/>
  <c r="B154" i="18"/>
  <c r="B153" i="18"/>
  <c r="B152" i="18"/>
  <c r="B151" i="18"/>
  <c r="B150" i="18"/>
  <c r="B149" i="18"/>
  <c r="B148" i="18"/>
  <c r="B147" i="18"/>
  <c r="B146" i="18"/>
  <c r="B145" i="18"/>
  <c r="B144" i="18"/>
  <c r="B143" i="18"/>
  <c r="B142" i="18"/>
  <c r="B141" i="18"/>
  <c r="B140" i="18"/>
  <c r="B139" i="18"/>
  <c r="B138" i="18"/>
  <c r="B137" i="18"/>
  <c r="B136" i="18"/>
  <c r="B135" i="18"/>
  <c r="B134" i="18"/>
  <c r="B133" i="18"/>
  <c r="B132" i="18"/>
  <c r="B131" i="18"/>
  <c r="B130" i="18"/>
  <c r="B129" i="18"/>
  <c r="B128" i="18"/>
  <c r="B127" i="18"/>
  <c r="B126" i="18"/>
  <c r="B125" i="18"/>
  <c r="B124" i="18"/>
  <c r="B123" i="18"/>
  <c r="B122" i="18"/>
  <c r="B121" i="18"/>
  <c r="B120" i="18"/>
  <c r="B119" i="18"/>
  <c r="B118" i="18"/>
  <c r="B117" i="18"/>
  <c r="B116" i="18"/>
  <c r="B115" i="18"/>
  <c r="B114" i="18"/>
  <c r="B113" i="18"/>
  <c r="B112" i="18"/>
  <c r="B111" i="18"/>
  <c r="B110" i="18"/>
  <c r="B109" i="18"/>
  <c r="B108" i="18"/>
  <c r="B107" i="18"/>
  <c r="B106" i="18"/>
  <c r="B105" i="18"/>
  <c r="B104" i="18"/>
  <c r="B103" i="18"/>
  <c r="B102" i="18"/>
  <c r="B101" i="18"/>
  <c r="B100" i="18"/>
  <c r="B99" i="18"/>
  <c r="B98" i="18"/>
  <c r="B97" i="18"/>
  <c r="B96" i="18"/>
  <c r="B95" i="18"/>
  <c r="B94" i="18"/>
  <c r="B93" i="18"/>
  <c r="B92" i="18"/>
  <c r="B91" i="18"/>
  <c r="B90" i="18"/>
  <c r="B89" i="18"/>
  <c r="B88" i="18"/>
  <c r="B87" i="18"/>
  <c r="B86" i="18"/>
  <c r="B85" i="18"/>
  <c r="B84" i="18"/>
  <c r="B83" i="18"/>
  <c r="B82" i="18"/>
  <c r="B81" i="18"/>
  <c r="B80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20" i="18"/>
  <c r="C35" i="18"/>
  <c r="C34" i="18"/>
  <c r="C46" i="18" s="1"/>
  <c r="C41" i="18"/>
  <c r="C65" i="18" s="1"/>
  <c r="D36" i="18"/>
  <c r="D48" i="18" s="1"/>
  <c r="C36" i="18"/>
  <c r="C60" i="18" s="1"/>
  <c r="C84" i="18" s="1"/>
  <c r="C96" i="18" s="1"/>
  <c r="C108" i="18" s="1"/>
  <c r="C120" i="18" s="1"/>
  <c r="C132" i="18" s="1"/>
  <c r="C144" i="18" s="1"/>
  <c r="C156" i="18" s="1"/>
  <c r="C40" i="18"/>
  <c r="C52" i="18" s="1"/>
  <c r="D35" i="18"/>
  <c r="D59" i="18" s="1"/>
  <c r="D83" i="18" s="1"/>
  <c r="D95" i="18" s="1"/>
  <c r="D107" i="18" s="1"/>
  <c r="D119" i="18" s="1"/>
  <c r="D131" i="18" s="1"/>
  <c r="D143" i="18" s="1"/>
  <c r="D155" i="18" s="1"/>
  <c r="D37" i="18"/>
  <c r="D61" i="18" s="1"/>
  <c r="D40" i="18"/>
  <c r="D33" i="18"/>
  <c r="D45" i="18" s="1"/>
  <c r="D34" i="18"/>
  <c r="D58" i="18" s="1"/>
  <c r="F10" i="29"/>
  <c r="E21" i="29"/>
  <c r="D36" i="29"/>
  <c r="D28" i="29"/>
  <c r="D31" i="29"/>
  <c r="D32" i="29"/>
  <c r="D33" i="29"/>
  <c r="D27" i="29"/>
  <c r="E36" i="29"/>
  <c r="E37" i="29"/>
  <c r="E30" i="29"/>
  <c r="E26" i="29"/>
  <c r="D25" i="29"/>
  <c r="D30" i="29"/>
  <c r="D37" i="29"/>
  <c r="E24" i="29"/>
  <c r="D29" i="29"/>
  <c r="D22" i="29"/>
  <c r="D24" i="29"/>
  <c r="E27" i="29"/>
  <c r="E33" i="29"/>
  <c r="E28" i="29"/>
  <c r="E22" i="29"/>
  <c r="E31" i="29"/>
  <c r="E29" i="29"/>
  <c r="E35" i="29"/>
  <c r="D35" i="29"/>
  <c r="D26" i="29"/>
  <c r="E25" i="29"/>
  <c r="E32" i="29"/>
  <c r="D23" i="29"/>
  <c r="E23" i="29"/>
  <c r="D21" i="29"/>
  <c r="C63" i="18" l="1"/>
  <c r="C87" i="18" s="1"/>
  <c r="C99" i="18" s="1"/>
  <c r="C111" i="18" s="1"/>
  <c r="C123" i="18" s="1"/>
  <c r="C135" i="18" s="1"/>
  <c r="C147" i="18" s="1"/>
  <c r="C159" i="18" s="1"/>
  <c r="C171" i="18" s="1"/>
  <c r="C72" i="18"/>
  <c r="C66" i="18"/>
  <c r="C78" i="18" s="1"/>
  <c r="C44" i="18"/>
  <c r="C64" i="18"/>
  <c r="C76" i="18" s="1"/>
  <c r="D63" i="18"/>
  <c r="D87" i="18" s="1"/>
  <c r="D99" i="18" s="1"/>
  <c r="D111" i="18" s="1"/>
  <c r="D123" i="18" s="1"/>
  <c r="D135" i="18" s="1"/>
  <c r="D147" i="18" s="1"/>
  <c r="D159" i="18" s="1"/>
  <c r="D183" i="18" s="1"/>
  <c r="D195" i="18" s="1"/>
  <c r="D207" i="18" s="1"/>
  <c r="D66" i="18"/>
  <c r="D78" i="18" s="1"/>
  <c r="D57" i="18"/>
  <c r="D69" i="18" s="1"/>
  <c r="E20" i="29"/>
  <c r="D20" i="29"/>
  <c r="C3" i="29"/>
  <c r="D79" i="18"/>
  <c r="D55" i="18"/>
  <c r="D53" i="18"/>
  <c r="C53" i="18"/>
  <c r="D50" i="18"/>
  <c r="C61" i="18"/>
  <c r="D46" i="18"/>
  <c r="C57" i="18"/>
  <c r="C81" i="18" s="1"/>
  <c r="C93" i="18" s="1"/>
  <c r="C105" i="18" s="1"/>
  <c r="C117" i="18" s="1"/>
  <c r="C129" i="18" s="1"/>
  <c r="C141" i="18" s="1"/>
  <c r="C153" i="18" s="1"/>
  <c r="C165" i="18" s="1"/>
  <c r="C80" i="18"/>
  <c r="C92" i="18" s="1"/>
  <c r="C104" i="18" s="1"/>
  <c r="C116" i="18" s="1"/>
  <c r="C128" i="18" s="1"/>
  <c r="C140" i="18" s="1"/>
  <c r="C152" i="18" s="1"/>
  <c r="C164" i="18" s="1"/>
  <c r="C68" i="18"/>
  <c r="O13" i="18"/>
  <c r="G212" i="18"/>
  <c r="C67" i="18"/>
  <c r="C79" i="18" s="1"/>
  <c r="D77" i="18"/>
  <c r="D89" i="18"/>
  <c r="D101" i="18" s="1"/>
  <c r="D113" i="18" s="1"/>
  <c r="D125" i="18" s="1"/>
  <c r="D137" i="18" s="1"/>
  <c r="D149" i="18" s="1"/>
  <c r="D161" i="18" s="1"/>
  <c r="D185" i="18" s="1"/>
  <c r="D197" i="18" s="1"/>
  <c r="D209" i="18" s="1"/>
  <c r="D74" i="18"/>
  <c r="D86" i="18"/>
  <c r="D98" i="18" s="1"/>
  <c r="D110" i="18" s="1"/>
  <c r="D122" i="18" s="1"/>
  <c r="D134" i="18" s="1"/>
  <c r="D146" i="18" s="1"/>
  <c r="D158" i="18" s="1"/>
  <c r="D170" i="18" s="1"/>
  <c r="C62" i="18"/>
  <c r="D49" i="18"/>
  <c r="D60" i="18"/>
  <c r="D72" i="18" s="1"/>
  <c r="C48" i="18"/>
  <c r="D71" i="18"/>
  <c r="C58" i="18"/>
  <c r="D56" i="18"/>
  <c r="D68" i="18" s="1"/>
  <c r="F29" i="29"/>
  <c r="I29" i="29" s="1"/>
  <c r="F32" i="29"/>
  <c r="I32" i="29" s="1"/>
  <c r="F24" i="29"/>
  <c r="I24" i="29" s="1"/>
  <c r="F30" i="29"/>
  <c r="I30" i="29" s="1"/>
  <c r="H34" i="29"/>
  <c r="F37" i="29"/>
  <c r="I37" i="29" s="1"/>
  <c r="G34" i="29"/>
  <c r="F27" i="29"/>
  <c r="I27" i="29" s="1"/>
  <c r="F33" i="29"/>
  <c r="I33" i="29" s="1"/>
  <c r="E34" i="29"/>
  <c r="F22" i="29"/>
  <c r="I22" i="29" s="1"/>
  <c r="H38" i="29"/>
  <c r="F21" i="29"/>
  <c r="I21" i="29" s="1"/>
  <c r="D34" i="29"/>
  <c r="F35" i="29"/>
  <c r="I35" i="29" s="1"/>
  <c r="D38" i="29"/>
  <c r="F25" i="29"/>
  <c r="I25" i="29" s="1"/>
  <c r="F28" i="29"/>
  <c r="I28" i="29" s="1"/>
  <c r="E38" i="29"/>
  <c r="F31" i="29"/>
  <c r="I31" i="29" s="1"/>
  <c r="G38" i="29"/>
  <c r="F36" i="29"/>
  <c r="I36" i="29" s="1"/>
  <c r="F26" i="29"/>
  <c r="I26" i="29" s="1"/>
  <c r="F23" i="29"/>
  <c r="I23" i="29" s="1"/>
  <c r="C180" i="18"/>
  <c r="C192" i="18" s="1"/>
  <c r="C204" i="18" s="1"/>
  <c r="C168" i="18"/>
  <c r="O14" i="18"/>
  <c r="D167" i="18"/>
  <c r="D179" i="18"/>
  <c r="D191" i="18" s="1"/>
  <c r="D203" i="18" s="1"/>
  <c r="D70" i="18"/>
  <c r="D82" i="18"/>
  <c r="D94" i="18" s="1"/>
  <c r="D106" i="18" s="1"/>
  <c r="D118" i="18" s="1"/>
  <c r="D130" i="18" s="1"/>
  <c r="D142" i="18" s="1"/>
  <c r="D154" i="18" s="1"/>
  <c r="C47" i="18"/>
  <c r="C59" i="18"/>
  <c r="D187" i="18"/>
  <c r="D199" i="18" s="1"/>
  <c r="D211" i="18" s="1"/>
  <c r="D85" i="18"/>
  <c r="D97" i="18" s="1"/>
  <c r="D109" i="18" s="1"/>
  <c r="D121" i="18" s="1"/>
  <c r="D133" i="18" s="1"/>
  <c r="D145" i="18" s="1"/>
  <c r="D157" i="18" s="1"/>
  <c r="D73" i="18"/>
  <c r="D47" i="18"/>
  <c r="C89" i="18"/>
  <c r="C101" i="18" s="1"/>
  <c r="C113" i="18" s="1"/>
  <c r="C125" i="18" s="1"/>
  <c r="C137" i="18" s="1"/>
  <c r="C149" i="18" s="1"/>
  <c r="C161" i="18" s="1"/>
  <c r="C77" i="18"/>
  <c r="D64" i="18"/>
  <c r="D52" i="18"/>
  <c r="C183" i="18" l="1"/>
  <c r="C195" i="18" s="1"/>
  <c r="C207" i="18" s="1"/>
  <c r="C75" i="18"/>
  <c r="C88" i="18"/>
  <c r="C100" i="18" s="1"/>
  <c r="C112" i="18" s="1"/>
  <c r="C124" i="18" s="1"/>
  <c r="C136" i="18" s="1"/>
  <c r="C148" i="18" s="1"/>
  <c r="C160" i="18" s="1"/>
  <c r="C184" i="18" s="1"/>
  <c r="C196" i="18" s="1"/>
  <c r="C208" i="18" s="1"/>
  <c r="C90" i="18"/>
  <c r="C102" i="18" s="1"/>
  <c r="C114" i="18" s="1"/>
  <c r="C126" i="18" s="1"/>
  <c r="C138" i="18" s="1"/>
  <c r="C150" i="18" s="1"/>
  <c r="C162" i="18" s="1"/>
  <c r="C186" i="18" s="1"/>
  <c r="C198" i="18" s="1"/>
  <c r="C210" i="18" s="1"/>
  <c r="D90" i="18"/>
  <c r="D102" i="18" s="1"/>
  <c r="D114" i="18" s="1"/>
  <c r="D126" i="18" s="1"/>
  <c r="D138" i="18" s="1"/>
  <c r="D150" i="18" s="1"/>
  <c r="D162" i="18" s="1"/>
  <c r="D174" i="18" s="1"/>
  <c r="D171" i="18"/>
  <c r="D81" i="18"/>
  <c r="D93" i="18" s="1"/>
  <c r="D105" i="18" s="1"/>
  <c r="D117" i="18" s="1"/>
  <c r="D129" i="18" s="1"/>
  <c r="D141" i="18" s="1"/>
  <c r="D153" i="18" s="1"/>
  <c r="D165" i="18" s="1"/>
  <c r="D75" i="18"/>
  <c r="D173" i="18"/>
  <c r="C177" i="18"/>
  <c r="C189" i="18" s="1"/>
  <c r="C201" i="18" s="1"/>
  <c r="D80" i="18"/>
  <c r="D92" i="18" s="1"/>
  <c r="D104" i="18" s="1"/>
  <c r="D116" i="18" s="1"/>
  <c r="D128" i="18" s="1"/>
  <c r="D140" i="18" s="1"/>
  <c r="D152" i="18" s="1"/>
  <c r="D164" i="18" s="1"/>
  <c r="C69" i="18"/>
  <c r="C91" i="18"/>
  <c r="C103" i="18" s="1"/>
  <c r="C115" i="18" s="1"/>
  <c r="C127" i="18" s="1"/>
  <c r="C139" i="18" s="1"/>
  <c r="C151" i="18" s="1"/>
  <c r="C163" i="18" s="1"/>
  <c r="C187" i="18" s="1"/>
  <c r="C199" i="18" s="1"/>
  <c r="C211" i="18" s="1"/>
  <c r="C176" i="18"/>
  <c r="C188" i="18" s="1"/>
  <c r="C200" i="18" s="1"/>
  <c r="D182" i="18"/>
  <c r="D194" i="18" s="1"/>
  <c r="D206" i="18" s="1"/>
  <c r="C73" i="18"/>
  <c r="C85" i="18"/>
  <c r="C97" i="18" s="1"/>
  <c r="C109" i="18" s="1"/>
  <c r="C121" i="18" s="1"/>
  <c r="C133" i="18" s="1"/>
  <c r="C145" i="18" s="1"/>
  <c r="C157" i="18" s="1"/>
  <c r="D84" i="18"/>
  <c r="D96" i="18" s="1"/>
  <c r="D108" i="18" s="1"/>
  <c r="D120" i="18" s="1"/>
  <c r="D132" i="18" s="1"/>
  <c r="D144" i="18" s="1"/>
  <c r="D156" i="18" s="1"/>
  <c r="D180" i="18" s="1"/>
  <c r="D192" i="18" s="1"/>
  <c r="D204" i="18" s="1"/>
  <c r="G39" i="29"/>
  <c r="C86" i="18"/>
  <c r="C98" i="18" s="1"/>
  <c r="C110" i="18" s="1"/>
  <c r="C122" i="18" s="1"/>
  <c r="C134" i="18" s="1"/>
  <c r="C146" i="18" s="1"/>
  <c r="C158" i="18" s="1"/>
  <c r="C74" i="18"/>
  <c r="C82" i="18"/>
  <c r="C94" i="18" s="1"/>
  <c r="C106" i="18" s="1"/>
  <c r="C118" i="18" s="1"/>
  <c r="C130" i="18" s="1"/>
  <c r="C142" i="18" s="1"/>
  <c r="C154" i="18" s="1"/>
  <c r="C70" i="18"/>
  <c r="F38" i="29"/>
  <c r="P13" i="18"/>
  <c r="C173" i="18"/>
  <c r="C185" i="18"/>
  <c r="C197" i="18" s="1"/>
  <c r="C209" i="18" s="1"/>
  <c r="P14" i="18"/>
  <c r="P212" i="18"/>
  <c r="D166" i="18"/>
  <c r="D178" i="18"/>
  <c r="D190" i="18" s="1"/>
  <c r="D202" i="18" s="1"/>
  <c r="D39" i="29"/>
  <c r="E39" i="29"/>
  <c r="D88" i="18"/>
  <c r="D100" i="18" s="1"/>
  <c r="D112" i="18" s="1"/>
  <c r="D124" i="18" s="1"/>
  <c r="D136" i="18" s="1"/>
  <c r="D148" i="18" s="1"/>
  <c r="D160" i="18" s="1"/>
  <c r="D76" i="18"/>
  <c r="D181" i="18"/>
  <c r="D193" i="18" s="1"/>
  <c r="D205" i="18" s="1"/>
  <c r="D169" i="18"/>
  <c r="C83" i="18"/>
  <c r="C95" i="18" s="1"/>
  <c r="C107" i="18" s="1"/>
  <c r="C119" i="18" s="1"/>
  <c r="C131" i="18" s="1"/>
  <c r="C143" i="18" s="1"/>
  <c r="C155" i="18" s="1"/>
  <c r="C71" i="18"/>
  <c r="F34" i="29"/>
  <c r="H39" i="29"/>
  <c r="C174" i="18" l="1"/>
  <c r="C172" i="18"/>
  <c r="D177" i="18"/>
  <c r="D189" i="18" s="1"/>
  <c r="D201" i="18" s="1"/>
  <c r="D186" i="18"/>
  <c r="D198" i="18" s="1"/>
  <c r="D210" i="18" s="1"/>
  <c r="D176" i="18"/>
  <c r="D188" i="18" s="1"/>
  <c r="D200" i="18" s="1"/>
  <c r="C175" i="18"/>
  <c r="D168" i="18"/>
  <c r="C181" i="18"/>
  <c r="C193" i="18" s="1"/>
  <c r="C205" i="18" s="1"/>
  <c r="C169" i="18"/>
  <c r="F39" i="29"/>
  <c r="Q13" i="18"/>
  <c r="Q14" i="18"/>
  <c r="C170" i="18"/>
  <c r="C182" i="18"/>
  <c r="C194" i="18" s="1"/>
  <c r="C206" i="18" s="1"/>
  <c r="C178" i="18"/>
  <c r="C190" i="18" s="1"/>
  <c r="C202" i="18" s="1"/>
  <c r="C166" i="18"/>
  <c r="I34" i="29"/>
  <c r="I38" i="29"/>
  <c r="C167" i="18"/>
  <c r="C179" i="18"/>
  <c r="C191" i="18" s="1"/>
  <c r="C203" i="18" s="1"/>
  <c r="D184" i="18"/>
  <c r="D196" i="18" s="1"/>
  <c r="D208" i="18" s="1"/>
  <c r="D172" i="18"/>
  <c r="I39" i="29" l="1"/>
  <c r="E11" i="29" l="1"/>
  <c r="H211" i="18" l="1"/>
  <c r="K211" i="18" s="1"/>
  <c r="H21" i="18"/>
  <c r="K21" i="18" s="1"/>
  <c r="H93" i="18"/>
  <c r="K93" i="18" s="1"/>
  <c r="H160" i="18"/>
  <c r="K160" i="18" s="1"/>
  <c r="H80" i="18"/>
  <c r="K80" i="18" s="1"/>
  <c r="H65" i="18"/>
  <c r="K65" i="18" s="1"/>
  <c r="H129" i="18"/>
  <c r="K129" i="18" s="1"/>
  <c r="H204" i="18"/>
  <c r="K204" i="18" s="1"/>
  <c r="H165" i="18"/>
  <c r="K165" i="18" s="1"/>
  <c r="H104" i="18"/>
  <c r="K104" i="18" s="1"/>
  <c r="H68" i="18"/>
  <c r="K68" i="18" s="1"/>
  <c r="H132" i="18"/>
  <c r="K132" i="18" s="1"/>
  <c r="H208" i="18"/>
  <c r="K208" i="18" s="1"/>
  <c r="H50" i="18"/>
  <c r="K50" i="18" s="1"/>
  <c r="H82" i="18"/>
  <c r="K82" i="18" s="1"/>
  <c r="H114" i="18"/>
  <c r="K114" i="18" s="1"/>
  <c r="H146" i="18"/>
  <c r="K146" i="18" s="1"/>
  <c r="H178" i="18"/>
  <c r="K178" i="18" s="1"/>
  <c r="H210" i="18"/>
  <c r="K210" i="18" s="1"/>
  <c r="H23" i="18"/>
  <c r="K23" i="18" s="1"/>
  <c r="H55" i="18"/>
  <c r="K55" i="18" s="1"/>
  <c r="H87" i="18"/>
  <c r="K87" i="18" s="1"/>
  <c r="H119" i="18"/>
  <c r="K119" i="18" s="1"/>
  <c r="H151" i="18"/>
  <c r="K151" i="18" s="1"/>
  <c r="H183" i="18"/>
  <c r="K183" i="18" s="1"/>
  <c r="H136" i="18"/>
  <c r="K136" i="18" s="1"/>
  <c r="H166" i="18"/>
  <c r="K166" i="18" s="1"/>
  <c r="H203" i="18"/>
  <c r="K203" i="18" s="1"/>
  <c r="H78" i="18"/>
  <c r="K78" i="18" s="1"/>
  <c r="H51" i="18"/>
  <c r="K51" i="18" s="1"/>
  <c r="H29" i="18"/>
  <c r="K29" i="18" s="1"/>
  <c r="H109" i="18"/>
  <c r="K109" i="18" s="1"/>
  <c r="H168" i="18"/>
  <c r="K168" i="18" s="1"/>
  <c r="H96" i="18"/>
  <c r="K96" i="18" s="1"/>
  <c r="H73" i="18"/>
  <c r="K73" i="18" s="1"/>
  <c r="H137" i="18"/>
  <c r="K137" i="18" s="1"/>
  <c r="H85" i="18"/>
  <c r="K85" i="18" s="1"/>
  <c r="H173" i="18"/>
  <c r="K173" i="18" s="1"/>
  <c r="H120" i="18"/>
  <c r="K120" i="18" s="1"/>
  <c r="H76" i="18"/>
  <c r="K76" i="18" s="1"/>
  <c r="H140" i="18"/>
  <c r="K140" i="18" s="1"/>
  <c r="H22" i="18"/>
  <c r="K22" i="18" s="1"/>
  <c r="H54" i="18"/>
  <c r="K54" i="18" s="1"/>
  <c r="H86" i="18"/>
  <c r="K86" i="18" s="1"/>
  <c r="H118" i="18"/>
  <c r="K118" i="18" s="1"/>
  <c r="H150" i="18"/>
  <c r="K150" i="18" s="1"/>
  <c r="H182" i="18"/>
  <c r="K182" i="18" s="1"/>
  <c r="H185" i="18"/>
  <c r="K185" i="18" s="1"/>
  <c r="H27" i="18"/>
  <c r="K27" i="18" s="1"/>
  <c r="H59" i="18"/>
  <c r="K59" i="18" s="1"/>
  <c r="H91" i="18"/>
  <c r="K91" i="18" s="1"/>
  <c r="H123" i="18"/>
  <c r="K123" i="18" s="1"/>
  <c r="H155" i="18"/>
  <c r="K155" i="18" s="1"/>
  <c r="H187" i="18"/>
  <c r="K187" i="18" s="1"/>
  <c r="H69" i="18"/>
  <c r="K69" i="18" s="1"/>
  <c r="H43" i="18"/>
  <c r="K43" i="18" s="1"/>
  <c r="H209" i="18"/>
  <c r="K209" i="18" s="1"/>
  <c r="H147" i="18"/>
  <c r="K147" i="18" s="1"/>
  <c r="H53" i="18"/>
  <c r="K53" i="18" s="1"/>
  <c r="H141" i="18"/>
  <c r="K141" i="18" s="1"/>
  <c r="H176" i="18"/>
  <c r="K176" i="18" s="1"/>
  <c r="H128" i="18"/>
  <c r="K128" i="18" s="1"/>
  <c r="H81" i="18"/>
  <c r="K81" i="18" s="1"/>
  <c r="H145" i="18"/>
  <c r="K145" i="18" s="1"/>
  <c r="H101" i="18"/>
  <c r="K101" i="18" s="1"/>
  <c r="H181" i="18"/>
  <c r="K181" i="18" s="1"/>
  <c r="H20" i="18"/>
  <c r="K20" i="18" s="1"/>
  <c r="H84" i="18"/>
  <c r="K84" i="18" s="1"/>
  <c r="H148" i="18"/>
  <c r="K148" i="18" s="1"/>
  <c r="H26" i="18"/>
  <c r="K26" i="18" s="1"/>
  <c r="H58" i="18"/>
  <c r="K58" i="18" s="1"/>
  <c r="H90" i="18"/>
  <c r="K90" i="18" s="1"/>
  <c r="H122" i="18"/>
  <c r="K122" i="18" s="1"/>
  <c r="H154" i="18"/>
  <c r="K154" i="18" s="1"/>
  <c r="H186" i="18"/>
  <c r="K186" i="18" s="1"/>
  <c r="H189" i="18"/>
  <c r="K189" i="18" s="1"/>
  <c r="H31" i="18"/>
  <c r="K31" i="18" s="1"/>
  <c r="H63" i="18"/>
  <c r="K63" i="18" s="1"/>
  <c r="H95" i="18"/>
  <c r="K95" i="18" s="1"/>
  <c r="H127" i="18"/>
  <c r="K127" i="18" s="1"/>
  <c r="H159" i="18"/>
  <c r="K159" i="18" s="1"/>
  <c r="H191" i="18"/>
  <c r="K191" i="18" s="1"/>
  <c r="H32" i="18"/>
  <c r="K32" i="18" s="1"/>
  <c r="H108" i="18"/>
  <c r="K108" i="18" s="1"/>
  <c r="H102" i="18"/>
  <c r="K102" i="18" s="1"/>
  <c r="H201" i="18"/>
  <c r="K201" i="18" s="1"/>
  <c r="H107" i="18"/>
  <c r="K107" i="18" s="1"/>
  <c r="H60" i="18"/>
  <c r="K60" i="18" s="1"/>
  <c r="H174" i="18"/>
  <c r="K174" i="18" s="1"/>
  <c r="H179" i="18"/>
  <c r="K179" i="18" s="1"/>
  <c r="H61" i="18"/>
  <c r="K61" i="18" s="1"/>
  <c r="H72" i="18"/>
  <c r="K72" i="18" s="1"/>
  <c r="H184" i="18"/>
  <c r="K184" i="18" s="1"/>
  <c r="H25" i="18"/>
  <c r="K25" i="18" s="1"/>
  <c r="H89" i="18"/>
  <c r="K89" i="18" s="1"/>
  <c r="H153" i="18"/>
  <c r="K153" i="18" s="1"/>
  <c r="H117" i="18"/>
  <c r="K117" i="18" s="1"/>
  <c r="H196" i="18"/>
  <c r="K196" i="18" s="1"/>
  <c r="H28" i="18"/>
  <c r="K28" i="18" s="1"/>
  <c r="H92" i="18"/>
  <c r="K92" i="18" s="1"/>
  <c r="H156" i="18"/>
  <c r="K156" i="18" s="1"/>
  <c r="H30" i="18"/>
  <c r="K30" i="18" s="1"/>
  <c r="H62" i="18"/>
  <c r="K62" i="18" s="1"/>
  <c r="H94" i="18"/>
  <c r="K94" i="18" s="1"/>
  <c r="H126" i="18"/>
  <c r="K126" i="18" s="1"/>
  <c r="H158" i="18"/>
  <c r="K158" i="18" s="1"/>
  <c r="H190" i="18"/>
  <c r="K190" i="18" s="1"/>
  <c r="H193" i="18"/>
  <c r="K193" i="18" s="1"/>
  <c r="H35" i="18"/>
  <c r="K35" i="18" s="1"/>
  <c r="H67" i="18"/>
  <c r="K67" i="18" s="1"/>
  <c r="H99" i="18"/>
  <c r="K99" i="18" s="1"/>
  <c r="H131" i="18"/>
  <c r="K131" i="18" s="1"/>
  <c r="H163" i="18"/>
  <c r="K163" i="18" s="1"/>
  <c r="H195" i="18"/>
  <c r="K195" i="18" s="1"/>
  <c r="H199" i="18"/>
  <c r="K199" i="18" s="1"/>
  <c r="H41" i="18"/>
  <c r="K41" i="18" s="1"/>
  <c r="H38" i="18"/>
  <c r="K38" i="18" s="1"/>
  <c r="H198" i="18"/>
  <c r="K198" i="18" s="1"/>
  <c r="H139" i="18"/>
  <c r="K139" i="18" s="1"/>
  <c r="H124" i="18"/>
  <c r="K124" i="18" s="1"/>
  <c r="H206" i="18"/>
  <c r="K206" i="18" s="1"/>
  <c r="H37" i="18"/>
  <c r="K37" i="18" s="1"/>
  <c r="H112" i="18"/>
  <c r="K112" i="18" s="1"/>
  <c r="H200" i="18"/>
  <c r="K200" i="18" s="1"/>
  <c r="H33" i="18"/>
  <c r="K33" i="18" s="1"/>
  <c r="H97" i="18"/>
  <c r="K97" i="18" s="1"/>
  <c r="H161" i="18"/>
  <c r="K161" i="18" s="1"/>
  <c r="H125" i="18"/>
  <c r="K125" i="18" s="1"/>
  <c r="H24" i="18"/>
  <c r="K24" i="18" s="1"/>
  <c r="H36" i="18"/>
  <c r="K36" i="18" s="1"/>
  <c r="H100" i="18"/>
  <c r="K100" i="18" s="1"/>
  <c r="H164" i="18"/>
  <c r="K164" i="18" s="1"/>
  <c r="H34" i="18"/>
  <c r="K34" i="18" s="1"/>
  <c r="H66" i="18"/>
  <c r="K66" i="18" s="1"/>
  <c r="H98" i="18"/>
  <c r="K98" i="18" s="1"/>
  <c r="H130" i="18"/>
  <c r="K130" i="18" s="1"/>
  <c r="H162" i="18"/>
  <c r="K162" i="18" s="1"/>
  <c r="H194" i="18"/>
  <c r="K194" i="18" s="1"/>
  <c r="H197" i="18"/>
  <c r="K197" i="18" s="1"/>
  <c r="H39" i="18"/>
  <c r="K39" i="18" s="1"/>
  <c r="H71" i="18"/>
  <c r="K71" i="18" s="1"/>
  <c r="H103" i="18"/>
  <c r="K103" i="18" s="1"/>
  <c r="H135" i="18"/>
  <c r="K135" i="18" s="1"/>
  <c r="H167" i="18"/>
  <c r="K167" i="18" s="1"/>
  <c r="H105" i="18"/>
  <c r="K105" i="18" s="1"/>
  <c r="H169" i="18"/>
  <c r="K169" i="18" s="1"/>
  <c r="H133" i="18"/>
  <c r="K133" i="18" s="1"/>
  <c r="H40" i="18"/>
  <c r="K40" i="18" s="1"/>
  <c r="H44" i="18"/>
  <c r="K44" i="18" s="1"/>
  <c r="H172" i="18"/>
  <c r="K172" i="18" s="1"/>
  <c r="H70" i="18"/>
  <c r="K70" i="18" s="1"/>
  <c r="H134" i="18"/>
  <c r="K134" i="18" s="1"/>
  <c r="H75" i="18"/>
  <c r="K75" i="18" s="1"/>
  <c r="H171" i="18"/>
  <c r="K171" i="18" s="1"/>
  <c r="H192" i="18"/>
  <c r="K192" i="18" s="1"/>
  <c r="H142" i="18"/>
  <c r="K142" i="18" s="1"/>
  <c r="H115" i="18"/>
  <c r="K115" i="18" s="1"/>
  <c r="H45" i="18"/>
  <c r="K45" i="18" s="1"/>
  <c r="H144" i="18"/>
  <c r="K144" i="18" s="1"/>
  <c r="H48" i="18"/>
  <c r="K48" i="18" s="1"/>
  <c r="H49" i="18"/>
  <c r="K49" i="18" s="1"/>
  <c r="H113" i="18"/>
  <c r="K113" i="18" s="1"/>
  <c r="H177" i="18"/>
  <c r="K177" i="18" s="1"/>
  <c r="H149" i="18"/>
  <c r="K149" i="18" s="1"/>
  <c r="H56" i="18"/>
  <c r="K56" i="18" s="1"/>
  <c r="H52" i="18"/>
  <c r="K52" i="18" s="1"/>
  <c r="H116" i="18"/>
  <c r="K116" i="18" s="1"/>
  <c r="H180" i="18"/>
  <c r="K180" i="18" s="1"/>
  <c r="H42" i="18"/>
  <c r="K42" i="18" s="1"/>
  <c r="H74" i="18"/>
  <c r="K74" i="18" s="1"/>
  <c r="H106" i="18"/>
  <c r="K106" i="18" s="1"/>
  <c r="H138" i="18"/>
  <c r="K138" i="18" s="1"/>
  <c r="H170" i="18"/>
  <c r="K170" i="18" s="1"/>
  <c r="H202" i="18"/>
  <c r="K202" i="18" s="1"/>
  <c r="H205" i="18"/>
  <c r="K205" i="18" s="1"/>
  <c r="H47" i="18"/>
  <c r="K47" i="18" s="1"/>
  <c r="H79" i="18"/>
  <c r="K79" i="18" s="1"/>
  <c r="H111" i="18"/>
  <c r="K111" i="18" s="1"/>
  <c r="H143" i="18"/>
  <c r="K143" i="18" s="1"/>
  <c r="H175" i="18"/>
  <c r="K175" i="18" s="1"/>
  <c r="H207" i="18"/>
  <c r="K207" i="18" s="1"/>
  <c r="H77" i="18"/>
  <c r="K77" i="18" s="1"/>
  <c r="H152" i="18"/>
  <c r="K152" i="18" s="1"/>
  <c r="H64" i="18"/>
  <c r="K64" i="18" s="1"/>
  <c r="H57" i="18"/>
  <c r="K57" i="18" s="1"/>
  <c r="H121" i="18"/>
  <c r="K121" i="18" s="1"/>
  <c r="H188" i="18"/>
  <c r="K188" i="18" s="1"/>
  <c r="H157" i="18"/>
  <c r="K157" i="18" s="1"/>
  <c r="H88" i="18"/>
  <c r="K88" i="18" s="1"/>
  <c r="H46" i="18"/>
  <c r="K46" i="18" s="1"/>
  <c r="H110" i="18"/>
  <c r="K110" i="18" s="1"/>
  <c r="H83" i="18"/>
  <c r="K83" i="18" s="1"/>
  <c r="E13" i="29"/>
  <c r="K13" i="18" l="1"/>
  <c r="K14" i="18"/>
  <c r="K212" i="18"/>
  <c r="F12" i="29" l="1"/>
  <c r="I21" i="18" l="1"/>
  <c r="J21" i="18" s="1"/>
  <c r="L21" i="18" s="1"/>
  <c r="I165" i="18"/>
  <c r="J165" i="18" s="1"/>
  <c r="L165" i="18" s="1"/>
  <c r="I34" i="18"/>
  <c r="J34" i="18" s="1"/>
  <c r="L34" i="18" s="1"/>
  <c r="I192" i="18"/>
  <c r="J192" i="18" s="1"/>
  <c r="L192" i="18" s="1"/>
  <c r="I30" i="18"/>
  <c r="J30" i="18" s="1"/>
  <c r="L30" i="18" s="1"/>
  <c r="I84" i="18"/>
  <c r="J84" i="18" s="1"/>
  <c r="L84" i="18" s="1"/>
  <c r="I77" i="18"/>
  <c r="J77" i="18" s="1"/>
  <c r="L77" i="18" s="1"/>
  <c r="I58" i="18"/>
  <c r="J58" i="18" s="1"/>
  <c r="L58" i="18" s="1"/>
  <c r="I94" i="18"/>
  <c r="J94" i="18" s="1"/>
  <c r="L94" i="18" s="1"/>
  <c r="I161" i="18"/>
  <c r="J161" i="18" s="1"/>
  <c r="L161" i="18" s="1"/>
  <c r="I39" i="18"/>
  <c r="J39" i="18" s="1"/>
  <c r="L39" i="18" s="1"/>
  <c r="I182" i="18"/>
  <c r="J182" i="18" s="1"/>
  <c r="L182" i="18" s="1"/>
  <c r="I169" i="18"/>
  <c r="J169" i="18" s="1"/>
  <c r="L169" i="18" s="1"/>
  <c r="I124" i="18"/>
  <c r="J124" i="18" s="1"/>
  <c r="L124" i="18" s="1"/>
  <c r="I152" i="18"/>
  <c r="J152" i="18" s="1"/>
  <c r="L152" i="18" s="1"/>
  <c r="I115" i="18"/>
  <c r="J115" i="18" s="1"/>
  <c r="L115" i="18" s="1"/>
  <c r="I44" i="18"/>
  <c r="J44" i="18" s="1"/>
  <c r="L44" i="18" s="1"/>
  <c r="I167" i="18"/>
  <c r="J167" i="18" s="1"/>
  <c r="L167" i="18" s="1"/>
  <c r="I138" i="18"/>
  <c r="J138" i="18" s="1"/>
  <c r="L138" i="18" s="1"/>
  <c r="I116" i="18"/>
  <c r="J116" i="18" s="1"/>
  <c r="L116" i="18" s="1"/>
  <c r="I33" i="18"/>
  <c r="J33" i="18" s="1"/>
  <c r="L33" i="18" s="1"/>
  <c r="I171" i="18"/>
  <c r="J171" i="18" s="1"/>
  <c r="L171" i="18" s="1"/>
  <c r="I139" i="18"/>
  <c r="J139" i="18" s="1"/>
  <c r="L139" i="18" s="1"/>
  <c r="I51" i="18"/>
  <c r="J51" i="18" s="1"/>
  <c r="L51" i="18" s="1"/>
  <c r="I128" i="18"/>
  <c r="J128" i="18" s="1"/>
  <c r="L128" i="18" s="1"/>
  <c r="I87" i="18"/>
  <c r="J87" i="18" s="1"/>
  <c r="L87" i="18" s="1"/>
  <c r="I194" i="18"/>
  <c r="J194" i="18" s="1"/>
  <c r="L194" i="18" s="1"/>
  <c r="I153" i="18"/>
  <c r="J153" i="18" s="1"/>
  <c r="L153" i="18" s="1"/>
  <c r="I64" i="18"/>
  <c r="J64" i="18" s="1"/>
  <c r="L64" i="18" s="1"/>
  <c r="I176" i="18"/>
  <c r="J176" i="18" s="1"/>
  <c r="L176" i="18" s="1"/>
  <c r="I66" i="18"/>
  <c r="J66" i="18" s="1"/>
  <c r="L66" i="18" s="1"/>
  <c r="I188" i="18"/>
  <c r="J188" i="18" s="1"/>
  <c r="L188" i="18" s="1"/>
  <c r="I181" i="18"/>
  <c r="J181" i="18" s="1"/>
  <c r="L181" i="18" s="1"/>
  <c r="I166" i="18"/>
  <c r="J166" i="18" s="1"/>
  <c r="L166" i="18" s="1"/>
  <c r="I97" i="18"/>
  <c r="J97" i="18" s="1"/>
  <c r="L97" i="18" s="1"/>
  <c r="I36" i="18"/>
  <c r="J36" i="18" s="1"/>
  <c r="L36" i="18" s="1"/>
  <c r="I125" i="18"/>
  <c r="J125" i="18" s="1"/>
  <c r="L125" i="18" s="1"/>
  <c r="I59" i="18"/>
  <c r="J59" i="18" s="1"/>
  <c r="L59" i="18" s="1"/>
  <c r="I122" i="18"/>
  <c r="J122" i="18" s="1"/>
  <c r="L122" i="18" s="1"/>
  <c r="I61" i="18"/>
  <c r="J61" i="18" s="1"/>
  <c r="L61" i="18" s="1"/>
  <c r="I95" i="18"/>
  <c r="J95" i="18" s="1"/>
  <c r="L95" i="18" s="1"/>
  <c r="I41" i="18"/>
  <c r="J41" i="18" s="1"/>
  <c r="L41" i="18" s="1"/>
  <c r="I38" i="18"/>
  <c r="J38" i="18" s="1"/>
  <c r="L38" i="18" s="1"/>
  <c r="I132" i="18"/>
  <c r="J132" i="18" s="1"/>
  <c r="L132" i="18" s="1"/>
  <c r="I162" i="18"/>
  <c r="J162" i="18" s="1"/>
  <c r="L162" i="18" s="1"/>
  <c r="I193" i="18"/>
  <c r="J193" i="18" s="1"/>
  <c r="L193" i="18" s="1"/>
  <c r="I103" i="18"/>
  <c r="J103" i="18" s="1"/>
  <c r="L103" i="18" s="1"/>
  <c r="I198" i="18"/>
  <c r="J198" i="18" s="1"/>
  <c r="L198" i="18" s="1"/>
  <c r="I23" i="18"/>
  <c r="J23" i="18" s="1"/>
  <c r="L23" i="18" s="1"/>
  <c r="I35" i="18"/>
  <c r="J35" i="18" s="1"/>
  <c r="L35" i="18" s="1"/>
  <c r="I96" i="18"/>
  <c r="J96" i="18" s="1"/>
  <c r="L96" i="18" s="1"/>
  <c r="I81" i="18"/>
  <c r="J81" i="18" s="1"/>
  <c r="L81" i="18" s="1"/>
  <c r="I65" i="18"/>
  <c r="J65" i="18" s="1"/>
  <c r="L65" i="18" s="1"/>
  <c r="I63" i="18"/>
  <c r="J63" i="18" s="1"/>
  <c r="L63" i="18" s="1"/>
  <c r="I189" i="18"/>
  <c r="J189" i="18" s="1"/>
  <c r="L189" i="18" s="1"/>
  <c r="I143" i="18"/>
  <c r="J143" i="18" s="1"/>
  <c r="L143" i="18" s="1"/>
  <c r="I46" i="18"/>
  <c r="J46" i="18" s="1"/>
  <c r="L46" i="18" s="1"/>
  <c r="I71" i="18"/>
  <c r="J71" i="18" s="1"/>
  <c r="L71" i="18" s="1"/>
  <c r="I118" i="18"/>
  <c r="J118" i="18" s="1"/>
  <c r="L118" i="18" s="1"/>
  <c r="I142" i="18"/>
  <c r="J142" i="18" s="1"/>
  <c r="L142" i="18" s="1"/>
  <c r="I147" i="18"/>
  <c r="J147" i="18" s="1"/>
  <c r="L147" i="18" s="1"/>
  <c r="I68" i="18"/>
  <c r="J68" i="18" s="1"/>
  <c r="L68" i="18" s="1"/>
  <c r="I191" i="18"/>
  <c r="J191" i="18" s="1"/>
  <c r="L191" i="18" s="1"/>
  <c r="I57" i="18"/>
  <c r="J57" i="18" s="1"/>
  <c r="L57" i="18" s="1"/>
  <c r="I141" i="18"/>
  <c r="J141" i="18" s="1"/>
  <c r="L141" i="18" s="1"/>
  <c r="I150" i="18"/>
  <c r="J150" i="18" s="1"/>
  <c r="L150" i="18" s="1"/>
  <c r="I31" i="18"/>
  <c r="J31" i="18" s="1"/>
  <c r="L31" i="18" s="1"/>
  <c r="I130" i="18"/>
  <c r="J130" i="18" s="1"/>
  <c r="L130" i="18" s="1"/>
  <c r="I187" i="18"/>
  <c r="J187" i="18" s="1"/>
  <c r="L187" i="18" s="1"/>
  <c r="I178" i="18"/>
  <c r="J178" i="18" s="1"/>
  <c r="L178" i="18" s="1"/>
  <c r="I109" i="18"/>
  <c r="J109" i="18" s="1"/>
  <c r="L109" i="18" s="1"/>
  <c r="I75" i="18"/>
  <c r="J75" i="18" s="1"/>
  <c r="L75" i="18" s="1"/>
  <c r="I145" i="18"/>
  <c r="J145" i="18" s="1"/>
  <c r="L145" i="18" s="1"/>
  <c r="F14" i="29"/>
  <c r="I76" i="18"/>
  <c r="J76" i="18" s="1"/>
  <c r="L76" i="18" s="1"/>
  <c r="I135" i="18"/>
  <c r="J135" i="18" s="1"/>
  <c r="L135" i="18" s="1"/>
  <c r="I175" i="18"/>
  <c r="J175" i="18" s="1"/>
  <c r="L175" i="18" s="1"/>
  <c r="I86" i="18"/>
  <c r="J86" i="18" s="1"/>
  <c r="L86" i="18" s="1"/>
  <c r="I45" i="18"/>
  <c r="J45" i="18" s="1"/>
  <c r="L45" i="18" s="1"/>
  <c r="I127" i="18"/>
  <c r="J127" i="18" s="1"/>
  <c r="L127" i="18" s="1"/>
  <c r="I74" i="18"/>
  <c r="J74" i="18" s="1"/>
  <c r="L74" i="18" s="1"/>
  <c r="I149" i="18"/>
  <c r="J149" i="18" s="1"/>
  <c r="L149" i="18" s="1"/>
  <c r="I204" i="18"/>
  <c r="J204" i="18" s="1"/>
  <c r="L204" i="18" s="1"/>
  <c r="I99" i="18"/>
  <c r="J99" i="18" s="1"/>
  <c r="L99" i="18" s="1"/>
  <c r="I202" i="18"/>
  <c r="J202" i="18" s="1"/>
  <c r="L202" i="18" s="1"/>
  <c r="I40" i="18"/>
  <c r="J40" i="18" s="1"/>
  <c r="L40" i="18" s="1"/>
  <c r="I172" i="18"/>
  <c r="J172" i="18" s="1"/>
  <c r="L172" i="18" s="1"/>
  <c r="I144" i="18"/>
  <c r="J144" i="18" s="1"/>
  <c r="L144" i="18" s="1"/>
  <c r="I52" i="18"/>
  <c r="J52" i="18" s="1"/>
  <c r="L52" i="18" s="1"/>
  <c r="I26" i="18"/>
  <c r="J26" i="18" s="1"/>
  <c r="L26" i="18" s="1"/>
  <c r="I54" i="18"/>
  <c r="J54" i="18" s="1"/>
  <c r="L54" i="18" s="1"/>
  <c r="I106" i="18"/>
  <c r="J106" i="18" s="1"/>
  <c r="L106" i="18" s="1"/>
  <c r="I69" i="18"/>
  <c r="J69" i="18" s="1"/>
  <c r="L69" i="18" s="1"/>
  <c r="I43" i="18"/>
  <c r="J43" i="18" s="1"/>
  <c r="L43" i="18" s="1"/>
  <c r="I210" i="18"/>
  <c r="J210" i="18" s="1"/>
  <c r="L210" i="18" s="1"/>
  <c r="I209" i="18"/>
  <c r="J209" i="18" s="1"/>
  <c r="L209" i="18" s="1"/>
  <c r="I27" i="18"/>
  <c r="J27" i="18" s="1"/>
  <c r="L27" i="18" s="1"/>
  <c r="I186" i="18"/>
  <c r="J186" i="18" s="1"/>
  <c r="L186" i="18" s="1"/>
  <c r="I211" i="18"/>
  <c r="J211" i="18" s="1"/>
  <c r="L211" i="18" s="1"/>
  <c r="I72" i="18"/>
  <c r="J72" i="18" s="1"/>
  <c r="L72" i="18" s="1"/>
  <c r="I104" i="18"/>
  <c r="J104" i="18" s="1"/>
  <c r="L104" i="18" s="1"/>
  <c r="I190" i="18"/>
  <c r="J190" i="18" s="1"/>
  <c r="L190" i="18" s="1"/>
  <c r="I22" i="18"/>
  <c r="J22" i="18" s="1"/>
  <c r="L22" i="18" s="1"/>
  <c r="I85" i="18"/>
  <c r="J85" i="18" s="1"/>
  <c r="L85" i="18" s="1"/>
  <c r="I102" i="18"/>
  <c r="J102" i="18" s="1"/>
  <c r="L102" i="18" s="1"/>
  <c r="I136" i="18"/>
  <c r="J136" i="18" s="1"/>
  <c r="L136" i="18" s="1"/>
  <c r="I160" i="18"/>
  <c r="J160" i="18" s="1"/>
  <c r="L160" i="18" s="1"/>
  <c r="I83" i="18"/>
  <c r="J83" i="18" s="1"/>
  <c r="L83" i="18" s="1"/>
  <c r="I201" i="18"/>
  <c r="J201" i="18" s="1"/>
  <c r="L201" i="18" s="1"/>
  <c r="I123" i="18"/>
  <c r="J123" i="18" s="1"/>
  <c r="L123" i="18" s="1"/>
  <c r="I155" i="18"/>
  <c r="J155" i="18" s="1"/>
  <c r="L155" i="18" s="1"/>
  <c r="I200" i="18"/>
  <c r="J200" i="18" s="1"/>
  <c r="L200" i="18" s="1"/>
  <c r="I82" i="18"/>
  <c r="J82" i="18" s="1"/>
  <c r="L82" i="18" s="1"/>
  <c r="I47" i="18"/>
  <c r="J47" i="18" s="1"/>
  <c r="L47" i="18" s="1"/>
  <c r="I177" i="18"/>
  <c r="J177" i="18" s="1"/>
  <c r="L177" i="18" s="1"/>
  <c r="I55" i="18"/>
  <c r="J55" i="18" s="1"/>
  <c r="L55" i="18" s="1"/>
  <c r="I113" i="18"/>
  <c r="J113" i="18" s="1"/>
  <c r="L113" i="18" s="1"/>
  <c r="I196" i="18"/>
  <c r="J196" i="18" s="1"/>
  <c r="L196" i="18" s="1"/>
  <c r="I48" i="18"/>
  <c r="J48" i="18" s="1"/>
  <c r="L48" i="18" s="1"/>
  <c r="I101" i="18"/>
  <c r="J101" i="18" s="1"/>
  <c r="L101" i="18" s="1"/>
  <c r="I60" i="18"/>
  <c r="J60" i="18" s="1"/>
  <c r="L60" i="18" s="1"/>
  <c r="I140" i="18"/>
  <c r="J140" i="18" s="1"/>
  <c r="L140" i="18" s="1"/>
  <c r="I50" i="18"/>
  <c r="J50" i="18" s="1"/>
  <c r="L50" i="18" s="1"/>
  <c r="I156" i="18"/>
  <c r="J156" i="18" s="1"/>
  <c r="L156" i="18" s="1"/>
  <c r="I90" i="18"/>
  <c r="J90" i="18" s="1"/>
  <c r="L90" i="18" s="1"/>
  <c r="I137" i="18"/>
  <c r="J137" i="18" s="1"/>
  <c r="L137" i="18" s="1"/>
  <c r="I158" i="18"/>
  <c r="J158" i="18" s="1"/>
  <c r="L158" i="18" s="1"/>
  <c r="I112" i="18"/>
  <c r="J112" i="18" s="1"/>
  <c r="L112" i="18" s="1"/>
  <c r="I80" i="18"/>
  <c r="J80" i="18" s="1"/>
  <c r="L80" i="18" s="1"/>
  <c r="I174" i="18"/>
  <c r="J174" i="18" s="1"/>
  <c r="L174" i="18" s="1"/>
  <c r="I114" i="18"/>
  <c r="J114" i="18" s="1"/>
  <c r="L114" i="18" s="1"/>
  <c r="I98" i="18"/>
  <c r="J98" i="18" s="1"/>
  <c r="L98" i="18" s="1"/>
  <c r="I157" i="18"/>
  <c r="J157" i="18" s="1"/>
  <c r="L157" i="18" s="1"/>
  <c r="I29" i="18"/>
  <c r="J29" i="18" s="1"/>
  <c r="L29" i="18" s="1"/>
  <c r="I131" i="18"/>
  <c r="J131" i="18" s="1"/>
  <c r="L131" i="18" s="1"/>
  <c r="I154" i="18"/>
  <c r="J154" i="18" s="1"/>
  <c r="L154" i="18" s="1"/>
  <c r="I20" i="18"/>
  <c r="J20" i="18" s="1"/>
  <c r="I67" i="18"/>
  <c r="J67" i="18" s="1"/>
  <c r="L67" i="18" s="1"/>
  <c r="I62" i="18"/>
  <c r="J62" i="18" s="1"/>
  <c r="L62" i="18" s="1"/>
  <c r="I32" i="18"/>
  <c r="J32" i="18" s="1"/>
  <c r="L32" i="18" s="1"/>
  <c r="I25" i="18"/>
  <c r="J25" i="18" s="1"/>
  <c r="L25" i="18" s="1"/>
  <c r="I133" i="18"/>
  <c r="J133" i="18" s="1"/>
  <c r="L133" i="18" s="1"/>
  <c r="I111" i="18"/>
  <c r="J111" i="18" s="1"/>
  <c r="L111" i="18" s="1"/>
  <c r="I163" i="18"/>
  <c r="J163" i="18" s="1"/>
  <c r="L163" i="18" s="1"/>
  <c r="I100" i="18"/>
  <c r="J100" i="18" s="1"/>
  <c r="L100" i="18" s="1"/>
  <c r="I42" i="18"/>
  <c r="J42" i="18" s="1"/>
  <c r="L42" i="18" s="1"/>
  <c r="I168" i="18"/>
  <c r="J168" i="18" s="1"/>
  <c r="L168" i="18" s="1"/>
  <c r="I117" i="18"/>
  <c r="J117" i="18" s="1"/>
  <c r="L117" i="18" s="1"/>
  <c r="I173" i="18"/>
  <c r="J173" i="18" s="1"/>
  <c r="L173" i="18" s="1"/>
  <c r="I126" i="18"/>
  <c r="J126" i="18" s="1"/>
  <c r="L126" i="18" s="1"/>
  <c r="I37" i="18"/>
  <c r="J37" i="18" s="1"/>
  <c r="L37" i="18" s="1"/>
  <c r="I79" i="18"/>
  <c r="J79" i="18" s="1"/>
  <c r="L79" i="18" s="1"/>
  <c r="I148" i="18"/>
  <c r="J148" i="18" s="1"/>
  <c r="L148" i="18" s="1"/>
  <c r="I180" i="18"/>
  <c r="J180" i="18" s="1"/>
  <c r="L180" i="18" s="1"/>
  <c r="I121" i="18"/>
  <c r="J121" i="18" s="1"/>
  <c r="L121" i="18" s="1"/>
  <c r="I184" i="18"/>
  <c r="J184" i="18" s="1"/>
  <c r="L184" i="18" s="1"/>
  <c r="I134" i="18"/>
  <c r="J134" i="18" s="1"/>
  <c r="L134" i="18" s="1"/>
  <c r="I92" i="18"/>
  <c r="J92" i="18" s="1"/>
  <c r="L92" i="18" s="1"/>
  <c r="I146" i="18"/>
  <c r="J146" i="18" s="1"/>
  <c r="L146" i="18" s="1"/>
  <c r="I89" i="18"/>
  <c r="J89" i="18" s="1"/>
  <c r="L89" i="18" s="1"/>
  <c r="I195" i="18"/>
  <c r="J195" i="18" s="1"/>
  <c r="L195" i="18" s="1"/>
  <c r="I88" i="18"/>
  <c r="J88" i="18" s="1"/>
  <c r="L88" i="18" s="1"/>
  <c r="I24" i="18"/>
  <c r="J24" i="18" s="1"/>
  <c r="L24" i="18" s="1"/>
  <c r="I205" i="18"/>
  <c r="J205" i="18" s="1"/>
  <c r="L205" i="18" s="1"/>
  <c r="I110" i="18"/>
  <c r="J110" i="18" s="1"/>
  <c r="L110" i="18" s="1"/>
  <c r="I93" i="18"/>
  <c r="J93" i="18" s="1"/>
  <c r="L93" i="18" s="1"/>
  <c r="I70" i="18"/>
  <c r="J70" i="18" s="1"/>
  <c r="L70" i="18" s="1"/>
  <c r="I183" i="18"/>
  <c r="J183" i="18" s="1"/>
  <c r="L183" i="18" s="1"/>
  <c r="I185" i="18"/>
  <c r="J185" i="18" s="1"/>
  <c r="L185" i="18" s="1"/>
  <c r="I120" i="18"/>
  <c r="J120" i="18" s="1"/>
  <c r="L120" i="18" s="1"/>
  <c r="I207" i="18"/>
  <c r="J207" i="18" s="1"/>
  <c r="L207" i="18" s="1"/>
  <c r="I119" i="18"/>
  <c r="J119" i="18" s="1"/>
  <c r="L119" i="18" s="1"/>
  <c r="I197" i="18"/>
  <c r="J197" i="18" s="1"/>
  <c r="L197" i="18" s="1"/>
  <c r="I199" i="18"/>
  <c r="J199" i="18" s="1"/>
  <c r="L199" i="18" s="1"/>
  <c r="I78" i="18"/>
  <c r="J78" i="18" s="1"/>
  <c r="L78" i="18" s="1"/>
  <c r="I56" i="18"/>
  <c r="J56" i="18" s="1"/>
  <c r="I107" i="18"/>
  <c r="J107" i="18" s="1"/>
  <c r="L107" i="18" s="1"/>
  <c r="I91" i="18"/>
  <c r="J91" i="18" s="1"/>
  <c r="L91" i="18" s="1"/>
  <c r="I53" i="18"/>
  <c r="J53" i="18" s="1"/>
  <c r="L53" i="18" s="1"/>
  <c r="I151" i="18"/>
  <c r="J151" i="18" s="1"/>
  <c r="L151" i="18" s="1"/>
  <c r="I206" i="18"/>
  <c r="J206" i="18" s="1"/>
  <c r="L206" i="18" s="1"/>
  <c r="I203" i="18"/>
  <c r="J203" i="18" s="1"/>
  <c r="L203" i="18" s="1"/>
  <c r="I49" i="18"/>
  <c r="J49" i="18" s="1"/>
  <c r="L49" i="18" s="1"/>
  <c r="I105" i="18"/>
  <c r="J105" i="18" s="1"/>
  <c r="L105" i="18" s="1"/>
  <c r="I73" i="18"/>
  <c r="J73" i="18" s="1"/>
  <c r="L73" i="18" s="1"/>
  <c r="I170" i="18"/>
  <c r="J170" i="18" s="1"/>
  <c r="L170" i="18" s="1"/>
  <c r="I208" i="18"/>
  <c r="J208" i="18" s="1"/>
  <c r="L208" i="18" s="1"/>
  <c r="I28" i="18"/>
  <c r="J28" i="18" s="1"/>
  <c r="L28" i="18" s="1"/>
  <c r="I179" i="18"/>
  <c r="J179" i="18" s="1"/>
  <c r="L179" i="18" s="1"/>
  <c r="I159" i="18"/>
  <c r="J159" i="18" s="1"/>
  <c r="L159" i="18" s="1"/>
  <c r="I108" i="18"/>
  <c r="J108" i="18" s="1"/>
  <c r="L108" i="18" s="1"/>
  <c r="I129" i="18"/>
  <c r="J129" i="18" s="1"/>
  <c r="L129" i="18" s="1"/>
  <c r="I164" i="18"/>
  <c r="J164" i="18" s="1"/>
  <c r="L164" i="18" s="1"/>
  <c r="L56" i="18" l="1"/>
  <c r="J13" i="18"/>
  <c r="L20" i="18"/>
  <c r="J212" i="18"/>
  <c r="J14" i="18"/>
  <c r="L14" i="18" l="1"/>
  <c r="L212" i="18"/>
  <c r="L13" i="18"/>
  <c r="M130" i="18" l="1"/>
  <c r="N130" i="18" s="1"/>
  <c r="R130" i="18" s="1"/>
  <c r="M110" i="18"/>
  <c r="N110" i="18" s="1"/>
  <c r="R110" i="18" s="1"/>
  <c r="M202" i="18"/>
  <c r="N202" i="18" s="1"/>
  <c r="R202" i="18" s="1"/>
  <c r="M91" i="18"/>
  <c r="N91" i="18" s="1"/>
  <c r="R91" i="18" s="1"/>
  <c r="M113" i="18"/>
  <c r="N113" i="18" s="1"/>
  <c r="R113" i="18" s="1"/>
  <c r="M203" i="18"/>
  <c r="N203" i="18" s="1"/>
  <c r="R203" i="18" s="1"/>
  <c r="M81" i="18"/>
  <c r="N81" i="18" s="1"/>
  <c r="R81" i="18" s="1"/>
  <c r="M127" i="18"/>
  <c r="N127" i="18" s="1"/>
  <c r="R127" i="18" s="1"/>
  <c r="M70" i="18"/>
  <c r="N70" i="18" s="1"/>
  <c r="R70" i="18" s="1"/>
  <c r="M98" i="18"/>
  <c r="N98" i="18" s="1"/>
  <c r="R98" i="18" s="1"/>
  <c r="M207" i="18"/>
  <c r="N207" i="18" s="1"/>
  <c r="R207" i="18" s="1"/>
  <c r="M195" i="18"/>
  <c r="N195" i="18" s="1"/>
  <c r="R195" i="18" s="1"/>
  <c r="M25" i="18"/>
  <c r="N25" i="18" s="1"/>
  <c r="R25" i="18" s="1"/>
  <c r="M158" i="18"/>
  <c r="N158" i="18" s="1"/>
  <c r="R158" i="18" s="1"/>
  <c r="M105" i="18"/>
  <c r="N105" i="18" s="1"/>
  <c r="R105" i="18" s="1"/>
  <c r="M104" i="18"/>
  <c r="N104" i="18" s="1"/>
  <c r="R104" i="18" s="1"/>
  <c r="M30" i="18"/>
  <c r="N30" i="18" s="1"/>
  <c r="R30" i="18" s="1"/>
  <c r="M146" i="18"/>
  <c r="N146" i="18" s="1"/>
  <c r="R146" i="18" s="1"/>
  <c r="M189" i="18"/>
  <c r="N189" i="18" s="1"/>
  <c r="R189" i="18" s="1"/>
  <c r="M167" i="18"/>
  <c r="N167" i="18" s="1"/>
  <c r="R167" i="18" s="1"/>
  <c r="M94" i="18"/>
  <c r="N94" i="18" s="1"/>
  <c r="R94" i="18" s="1"/>
  <c r="M134" i="18"/>
  <c r="N134" i="18" s="1"/>
  <c r="R134" i="18" s="1"/>
  <c r="M74" i="18"/>
  <c r="N74" i="18" s="1"/>
  <c r="R74" i="18" s="1"/>
  <c r="M40" i="18"/>
  <c r="N40" i="18" s="1"/>
  <c r="R40" i="18" s="1"/>
  <c r="M176" i="18"/>
  <c r="N176" i="18" s="1"/>
  <c r="R176" i="18" s="1"/>
  <c r="M205" i="18"/>
  <c r="N205" i="18" s="1"/>
  <c r="R205" i="18" s="1"/>
  <c r="M114" i="18"/>
  <c r="N114" i="18" s="1"/>
  <c r="R114" i="18" s="1"/>
  <c r="M126" i="18"/>
  <c r="N126" i="18" s="1"/>
  <c r="R126" i="18" s="1"/>
  <c r="M42" i="18"/>
  <c r="N42" i="18" s="1"/>
  <c r="R42" i="18" s="1"/>
  <c r="M157" i="18"/>
  <c r="N157" i="18" s="1"/>
  <c r="R157" i="18" s="1"/>
  <c r="M208" i="18"/>
  <c r="N208" i="18" s="1"/>
  <c r="R208" i="18" s="1"/>
  <c r="M141" i="18"/>
  <c r="N141" i="18" s="1"/>
  <c r="R141" i="18" s="1"/>
  <c r="M209" i="18"/>
  <c r="N209" i="18" s="1"/>
  <c r="R209" i="18" s="1"/>
  <c r="M27" i="18"/>
  <c r="N27" i="18" s="1"/>
  <c r="R27" i="18" s="1"/>
  <c r="M149" i="18"/>
  <c r="N149" i="18" s="1"/>
  <c r="R149" i="18" s="1"/>
  <c r="M50" i="18"/>
  <c r="N50" i="18" s="1"/>
  <c r="R50" i="18" s="1"/>
  <c r="M51" i="18"/>
  <c r="N51" i="18" s="1"/>
  <c r="R51" i="18" s="1"/>
  <c r="M76" i="18"/>
  <c r="N76" i="18" s="1"/>
  <c r="R76" i="18" s="1"/>
  <c r="M162" i="18"/>
  <c r="N162" i="18" s="1"/>
  <c r="R162" i="18" s="1"/>
  <c r="M132" i="18"/>
  <c r="N132" i="18" s="1"/>
  <c r="R132" i="18" s="1"/>
  <c r="M86" i="18"/>
  <c r="N86" i="18" s="1"/>
  <c r="R86" i="18" s="1"/>
  <c r="M137" i="18"/>
  <c r="N137" i="18" s="1"/>
  <c r="R137" i="18" s="1"/>
  <c r="M101" i="18"/>
  <c r="N101" i="18" s="1"/>
  <c r="R101" i="18" s="1"/>
  <c r="M34" i="18"/>
  <c r="N34" i="18" s="1"/>
  <c r="R34" i="18" s="1"/>
  <c r="M85" i="18"/>
  <c r="N85" i="18" s="1"/>
  <c r="R85" i="18" s="1"/>
  <c r="M103" i="18"/>
  <c r="N103" i="18" s="1"/>
  <c r="R103" i="18" s="1"/>
  <c r="M180" i="18"/>
  <c r="N180" i="18" s="1"/>
  <c r="R180" i="18" s="1"/>
  <c r="M169" i="18"/>
  <c r="N169" i="18" s="1"/>
  <c r="R169" i="18" s="1"/>
  <c r="M22" i="18"/>
  <c r="N22" i="18" s="1"/>
  <c r="R22" i="18" s="1"/>
  <c r="M155" i="18"/>
  <c r="N155" i="18" s="1"/>
  <c r="R155" i="18" s="1"/>
  <c r="M122" i="18"/>
  <c r="N122" i="18" s="1"/>
  <c r="R122" i="18" s="1"/>
  <c r="M182" i="18"/>
  <c r="N182" i="18" s="1"/>
  <c r="R182" i="18" s="1"/>
  <c r="M45" i="18"/>
  <c r="N45" i="18" s="1"/>
  <c r="R45" i="18" s="1"/>
  <c r="M83" i="18"/>
  <c r="N83" i="18" s="1"/>
  <c r="R83" i="18" s="1"/>
  <c r="M47" i="18"/>
  <c r="N47" i="18" s="1"/>
  <c r="R47" i="18" s="1"/>
  <c r="M164" i="18"/>
  <c r="N164" i="18" s="1"/>
  <c r="R164" i="18" s="1"/>
  <c r="M24" i="18"/>
  <c r="N24" i="18" s="1"/>
  <c r="R24" i="18" s="1"/>
  <c r="M115" i="18"/>
  <c r="N115" i="18" s="1"/>
  <c r="R115" i="18" s="1"/>
  <c r="M100" i="18"/>
  <c r="N100" i="18" s="1"/>
  <c r="R100" i="18" s="1"/>
  <c r="M152" i="18"/>
  <c r="N152" i="18" s="1"/>
  <c r="R152" i="18" s="1"/>
  <c r="M211" i="18"/>
  <c r="N211" i="18" s="1"/>
  <c r="R211" i="18" s="1"/>
  <c r="M38" i="18"/>
  <c r="N38" i="18" s="1"/>
  <c r="R38" i="18" s="1"/>
  <c r="M87" i="18"/>
  <c r="N87" i="18" s="1"/>
  <c r="R87" i="18" s="1"/>
  <c r="M111" i="18"/>
  <c r="N111" i="18" s="1"/>
  <c r="R111" i="18" s="1"/>
  <c r="M89" i="18"/>
  <c r="N89" i="18" s="1"/>
  <c r="R89" i="18" s="1"/>
  <c r="M171" i="18"/>
  <c r="N171" i="18" s="1"/>
  <c r="R171" i="18" s="1"/>
  <c r="M139" i="18"/>
  <c r="N139" i="18" s="1"/>
  <c r="R139" i="18" s="1"/>
  <c r="M33" i="18"/>
  <c r="N33" i="18" s="1"/>
  <c r="R33" i="18" s="1"/>
  <c r="M97" i="18"/>
  <c r="N97" i="18" s="1"/>
  <c r="R97" i="18" s="1"/>
  <c r="M61" i="18"/>
  <c r="N61" i="18" s="1"/>
  <c r="R61" i="18" s="1"/>
  <c r="M20" i="18"/>
  <c r="M170" i="18"/>
  <c r="N170" i="18" s="1"/>
  <c r="R170" i="18" s="1"/>
  <c r="M178" i="18"/>
  <c r="N178" i="18" s="1"/>
  <c r="R178" i="18" s="1"/>
  <c r="M31" i="18"/>
  <c r="N31" i="18" s="1"/>
  <c r="R31" i="18" s="1"/>
  <c r="M90" i="18"/>
  <c r="N90" i="18" s="1"/>
  <c r="R90" i="18" s="1"/>
  <c r="M204" i="18"/>
  <c r="N204" i="18" s="1"/>
  <c r="R204" i="18" s="1"/>
  <c r="M128" i="18"/>
  <c r="N128" i="18" s="1"/>
  <c r="R128" i="18" s="1"/>
  <c r="M201" i="18"/>
  <c r="N201" i="18" s="1"/>
  <c r="R201" i="18" s="1"/>
  <c r="M65" i="18"/>
  <c r="N65" i="18" s="1"/>
  <c r="R65" i="18" s="1"/>
  <c r="M80" i="18"/>
  <c r="N80" i="18" s="1"/>
  <c r="R80" i="18" s="1"/>
  <c r="M194" i="18"/>
  <c r="N194" i="18" s="1"/>
  <c r="R194" i="18" s="1"/>
  <c r="M72" i="18"/>
  <c r="N72" i="18" s="1"/>
  <c r="R72" i="18" s="1"/>
  <c r="M44" i="18"/>
  <c r="N44" i="18" s="1"/>
  <c r="R44" i="18" s="1"/>
  <c r="M123" i="18"/>
  <c r="N123" i="18" s="1"/>
  <c r="R123" i="18" s="1"/>
  <c r="M69" i="18"/>
  <c r="N69" i="18" s="1"/>
  <c r="R69" i="18" s="1"/>
  <c r="M95" i="18"/>
  <c r="N95" i="18" s="1"/>
  <c r="R95" i="18" s="1"/>
  <c r="M68" i="18"/>
  <c r="N68" i="18" s="1"/>
  <c r="R68" i="18" s="1"/>
  <c r="M58" i="18"/>
  <c r="N58" i="18" s="1"/>
  <c r="R58" i="18" s="1"/>
  <c r="M154" i="18"/>
  <c r="N154" i="18" s="1"/>
  <c r="R154" i="18" s="1"/>
  <c r="M46" i="18"/>
  <c r="N46" i="18" s="1"/>
  <c r="R46" i="18" s="1"/>
  <c r="M59" i="18"/>
  <c r="N59" i="18" s="1"/>
  <c r="R59" i="18" s="1"/>
  <c r="M160" i="18"/>
  <c r="N160" i="18" s="1"/>
  <c r="R160" i="18" s="1"/>
  <c r="M21" i="18"/>
  <c r="N21" i="18" s="1"/>
  <c r="R21" i="18" s="1"/>
  <c r="M99" i="18"/>
  <c r="N99" i="18" s="1"/>
  <c r="R99" i="18" s="1"/>
  <c r="M153" i="18"/>
  <c r="N153" i="18" s="1"/>
  <c r="R153" i="18" s="1"/>
  <c r="M66" i="18"/>
  <c r="N66" i="18" s="1"/>
  <c r="R66" i="18" s="1"/>
  <c r="M188" i="18"/>
  <c r="N188" i="18" s="1"/>
  <c r="R188" i="18" s="1"/>
  <c r="M165" i="18"/>
  <c r="N165" i="18" s="1"/>
  <c r="R165" i="18" s="1"/>
  <c r="M161" i="18"/>
  <c r="N161" i="18" s="1"/>
  <c r="R161" i="18" s="1"/>
  <c r="M173" i="18"/>
  <c r="N173" i="18" s="1"/>
  <c r="R173" i="18" s="1"/>
  <c r="M41" i="18"/>
  <c r="N41" i="18" s="1"/>
  <c r="R41" i="18" s="1"/>
  <c r="M159" i="18"/>
  <c r="N159" i="18" s="1"/>
  <c r="R159" i="18" s="1"/>
  <c r="M102" i="18"/>
  <c r="N102" i="18" s="1"/>
  <c r="R102" i="18" s="1"/>
  <c r="M77" i="18"/>
  <c r="N77" i="18" s="1"/>
  <c r="R77" i="18" s="1"/>
  <c r="M92" i="18"/>
  <c r="N92" i="18" s="1"/>
  <c r="R92" i="18" s="1"/>
  <c r="M23" i="18"/>
  <c r="N23" i="18" s="1"/>
  <c r="R23" i="18" s="1"/>
  <c r="M32" i="18"/>
  <c r="N32" i="18" s="1"/>
  <c r="R32" i="18" s="1"/>
  <c r="M82" i="18"/>
  <c r="N82" i="18" s="1"/>
  <c r="R82" i="18" s="1"/>
  <c r="M190" i="18"/>
  <c r="N190" i="18" s="1"/>
  <c r="R190" i="18" s="1"/>
  <c r="M55" i="18"/>
  <c r="N55" i="18" s="1"/>
  <c r="R55" i="18" s="1"/>
  <c r="M143" i="18"/>
  <c r="N143" i="18" s="1"/>
  <c r="R143" i="18" s="1"/>
  <c r="M56" i="18"/>
  <c r="M48" i="18"/>
  <c r="N48" i="18" s="1"/>
  <c r="R48" i="18" s="1"/>
  <c r="M125" i="18"/>
  <c r="N125" i="18" s="1"/>
  <c r="R125" i="18" s="1"/>
  <c r="M150" i="18"/>
  <c r="N150" i="18" s="1"/>
  <c r="R150" i="18" s="1"/>
  <c r="M60" i="18"/>
  <c r="N60" i="18" s="1"/>
  <c r="R60" i="18" s="1"/>
  <c r="M138" i="18"/>
  <c r="N138" i="18" s="1"/>
  <c r="R138" i="18" s="1"/>
  <c r="M116" i="18"/>
  <c r="N116" i="18" s="1"/>
  <c r="R116" i="18" s="1"/>
  <c r="M210" i="18"/>
  <c r="N210" i="18" s="1"/>
  <c r="R210" i="18" s="1"/>
  <c r="M117" i="18"/>
  <c r="N117" i="18" s="1"/>
  <c r="R117" i="18" s="1"/>
  <c r="M75" i="18"/>
  <c r="N75" i="18" s="1"/>
  <c r="R75" i="18" s="1"/>
  <c r="M151" i="18"/>
  <c r="N151" i="18" s="1"/>
  <c r="R151" i="18" s="1"/>
  <c r="M119" i="18"/>
  <c r="N119" i="18" s="1"/>
  <c r="R119" i="18" s="1"/>
  <c r="M177" i="18"/>
  <c r="N177" i="18" s="1"/>
  <c r="R177" i="18" s="1"/>
  <c r="M108" i="18"/>
  <c r="N108" i="18" s="1"/>
  <c r="R108" i="18" s="1"/>
  <c r="M186" i="18"/>
  <c r="N186" i="18" s="1"/>
  <c r="R186" i="18" s="1"/>
  <c r="M107" i="18"/>
  <c r="N107" i="18" s="1"/>
  <c r="R107" i="18" s="1"/>
  <c r="M179" i="18"/>
  <c r="N179" i="18" s="1"/>
  <c r="R179" i="18" s="1"/>
  <c r="M79" i="18"/>
  <c r="N79" i="18" s="1"/>
  <c r="R79" i="18" s="1"/>
  <c r="M35" i="18"/>
  <c r="N35" i="18" s="1"/>
  <c r="R35" i="18" s="1"/>
  <c r="M26" i="18"/>
  <c r="N26" i="18" s="1"/>
  <c r="R26" i="18" s="1"/>
  <c r="M88" i="18"/>
  <c r="N88" i="18" s="1"/>
  <c r="R88" i="18" s="1"/>
  <c r="M49" i="18"/>
  <c r="N49" i="18" s="1"/>
  <c r="R49" i="18" s="1"/>
  <c r="M112" i="18"/>
  <c r="N112" i="18" s="1"/>
  <c r="R112" i="18" s="1"/>
  <c r="M172" i="18"/>
  <c r="N172" i="18" s="1"/>
  <c r="R172" i="18" s="1"/>
  <c r="M163" i="18"/>
  <c r="N163" i="18" s="1"/>
  <c r="R163" i="18" s="1"/>
  <c r="M43" i="18"/>
  <c r="N43" i="18" s="1"/>
  <c r="R43" i="18" s="1"/>
  <c r="M147" i="18"/>
  <c r="N147" i="18" s="1"/>
  <c r="R147" i="18" s="1"/>
  <c r="M192" i="18"/>
  <c r="N192" i="18" s="1"/>
  <c r="R192" i="18" s="1"/>
  <c r="M200" i="18"/>
  <c r="N200" i="18" s="1"/>
  <c r="R200" i="18" s="1"/>
  <c r="M64" i="18"/>
  <c r="N64" i="18" s="1"/>
  <c r="R64" i="18" s="1"/>
  <c r="M106" i="18"/>
  <c r="N106" i="18" s="1"/>
  <c r="R106" i="18" s="1"/>
  <c r="M135" i="18"/>
  <c r="N135" i="18" s="1"/>
  <c r="R135" i="18" s="1"/>
  <c r="M191" i="18"/>
  <c r="N191" i="18" s="1"/>
  <c r="R191" i="18" s="1"/>
  <c r="M197" i="18"/>
  <c r="N197" i="18" s="1"/>
  <c r="R197" i="18" s="1"/>
  <c r="M196" i="18"/>
  <c r="N196" i="18" s="1"/>
  <c r="R196" i="18" s="1"/>
  <c r="M131" i="18"/>
  <c r="N131" i="18" s="1"/>
  <c r="R131" i="18" s="1"/>
  <c r="M39" i="18"/>
  <c r="N39" i="18" s="1"/>
  <c r="R39" i="18" s="1"/>
  <c r="M109" i="18"/>
  <c r="N109" i="18" s="1"/>
  <c r="R109" i="18" s="1"/>
  <c r="M124" i="18"/>
  <c r="N124" i="18" s="1"/>
  <c r="R124" i="18" s="1"/>
  <c r="M174" i="18"/>
  <c r="N174" i="18" s="1"/>
  <c r="R174" i="18" s="1"/>
  <c r="M199" i="18"/>
  <c r="N199" i="18" s="1"/>
  <c r="R199" i="18" s="1"/>
  <c r="M175" i="18"/>
  <c r="N175" i="18" s="1"/>
  <c r="R175" i="18" s="1"/>
  <c r="M133" i="18"/>
  <c r="N133" i="18" s="1"/>
  <c r="R133" i="18" s="1"/>
  <c r="M136" i="18"/>
  <c r="N136" i="18" s="1"/>
  <c r="R136" i="18" s="1"/>
  <c r="M63" i="18"/>
  <c r="N63" i="18" s="1"/>
  <c r="R63" i="18" s="1"/>
  <c r="M193" i="18"/>
  <c r="N193" i="18" s="1"/>
  <c r="R193" i="18" s="1"/>
  <c r="M53" i="18"/>
  <c r="N53" i="18" s="1"/>
  <c r="R53" i="18" s="1"/>
  <c r="M67" i="18"/>
  <c r="N67" i="18" s="1"/>
  <c r="R67" i="18" s="1"/>
  <c r="M121" i="18"/>
  <c r="N121" i="18" s="1"/>
  <c r="R121" i="18" s="1"/>
  <c r="M129" i="18"/>
  <c r="N129" i="18" s="1"/>
  <c r="R129" i="18" s="1"/>
  <c r="M57" i="18"/>
  <c r="N57" i="18" s="1"/>
  <c r="R57" i="18" s="1"/>
  <c r="M73" i="18"/>
  <c r="N73" i="18" s="1"/>
  <c r="R73" i="18" s="1"/>
  <c r="M185" i="18"/>
  <c r="N185" i="18" s="1"/>
  <c r="R185" i="18" s="1"/>
  <c r="M206" i="18"/>
  <c r="N206" i="18" s="1"/>
  <c r="R206" i="18" s="1"/>
  <c r="M93" i="18"/>
  <c r="N93" i="18" s="1"/>
  <c r="R93" i="18" s="1"/>
  <c r="M187" i="18"/>
  <c r="N187" i="18" s="1"/>
  <c r="R187" i="18" s="1"/>
  <c r="M142" i="18"/>
  <c r="N142" i="18" s="1"/>
  <c r="R142" i="18" s="1"/>
  <c r="M37" i="18"/>
  <c r="N37" i="18" s="1"/>
  <c r="R37" i="18" s="1"/>
  <c r="M29" i="18"/>
  <c r="N29" i="18" s="1"/>
  <c r="R29" i="18" s="1"/>
  <c r="M181" i="18"/>
  <c r="N181" i="18" s="1"/>
  <c r="R181" i="18" s="1"/>
  <c r="M168" i="18"/>
  <c r="N168" i="18" s="1"/>
  <c r="R168" i="18" s="1"/>
  <c r="M198" i="18"/>
  <c r="N198" i="18" s="1"/>
  <c r="R198" i="18" s="1"/>
  <c r="M78" i="18"/>
  <c r="N78" i="18" s="1"/>
  <c r="R78" i="18" s="1"/>
  <c r="M62" i="18"/>
  <c r="N62" i="18" s="1"/>
  <c r="R62" i="18" s="1"/>
  <c r="M140" i="18"/>
  <c r="N140" i="18" s="1"/>
  <c r="R140" i="18" s="1"/>
  <c r="M184" i="18"/>
  <c r="N184" i="18" s="1"/>
  <c r="R184" i="18" s="1"/>
  <c r="M148" i="18"/>
  <c r="N148" i="18" s="1"/>
  <c r="R148" i="18" s="1"/>
  <c r="M166" i="18"/>
  <c r="N166" i="18" s="1"/>
  <c r="R166" i="18" s="1"/>
  <c r="M183" i="18"/>
  <c r="N183" i="18" s="1"/>
  <c r="R183" i="18" s="1"/>
  <c r="M54" i="18"/>
  <c r="N54" i="18" s="1"/>
  <c r="R54" i="18" s="1"/>
  <c r="M156" i="18"/>
  <c r="N156" i="18" s="1"/>
  <c r="R156" i="18" s="1"/>
  <c r="M28" i="18"/>
  <c r="N28" i="18" s="1"/>
  <c r="R28" i="18" s="1"/>
  <c r="M144" i="18"/>
  <c r="N144" i="18" s="1"/>
  <c r="R144" i="18" s="1"/>
  <c r="M52" i="18"/>
  <c r="N52" i="18" s="1"/>
  <c r="R52" i="18" s="1"/>
  <c r="M118" i="18"/>
  <c r="N118" i="18" s="1"/>
  <c r="R118" i="18" s="1"/>
  <c r="M36" i="18"/>
  <c r="N36" i="18" s="1"/>
  <c r="R36" i="18" s="1"/>
  <c r="M145" i="18"/>
  <c r="N145" i="18" s="1"/>
  <c r="R145" i="18" s="1"/>
  <c r="M71" i="18"/>
  <c r="N71" i="18" s="1"/>
  <c r="R71" i="18" s="1"/>
  <c r="M120" i="18"/>
  <c r="N120" i="18" s="1"/>
  <c r="R120" i="18" s="1"/>
  <c r="M96" i="18"/>
  <c r="N96" i="18" s="1"/>
  <c r="R96" i="18" s="1"/>
  <c r="M84" i="18"/>
  <c r="N84" i="18" s="1"/>
  <c r="R84" i="18" s="1"/>
  <c r="M13" i="18" l="1"/>
  <c r="N56" i="18"/>
  <c r="M212" i="18"/>
  <c r="N20" i="18"/>
  <c r="R20" i="18" l="1"/>
  <c r="N14" i="18"/>
  <c r="R56" i="18"/>
  <c r="R13" i="18" s="1"/>
  <c r="N13" i="18"/>
  <c r="R14" i="18" l="1"/>
  <c r="R212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rlp</author>
  </authors>
  <commentList>
    <comment ref="J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True-Up ATRR and rate from current year's (t=0) update.
</t>
        </r>
      </text>
    </comment>
    <comment ref="K2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3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K6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Sched 9 ATRR and rate (rpojected) from prev year's template (t-1)</t>
        </r>
      </text>
    </comment>
    <comment ref="J19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Actual Charge based on after the fact "True-Up" rate for entire prior CY.</t>
        </r>
      </text>
    </comment>
    <comment ref="K19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rlp:</t>
        </r>
        <r>
          <rPr>
            <sz val="8"/>
            <color indexed="81"/>
            <rFont val="Tahoma"/>
            <family val="2"/>
          </rPr>
          <t xml:space="preserve">
Amount charged during the Rate Year based on projected rates.</t>
        </r>
      </text>
    </comment>
  </commentList>
</comments>
</file>

<file path=xl/sharedStrings.xml><?xml version="1.0" encoding="utf-8"?>
<sst xmlns="http://schemas.openxmlformats.org/spreadsheetml/2006/main" count="441" uniqueCount="104">
  <si>
    <t>Customer</t>
  </si>
  <si>
    <t>MW</t>
  </si>
  <si>
    <t>Total True-up</t>
  </si>
  <si>
    <t>True-Up w/o Interest</t>
  </si>
  <si>
    <t>Billing
Date*</t>
  </si>
  <si>
    <t>Payment Received*</t>
  </si>
  <si>
    <t>Annual RR</t>
  </si>
  <si>
    <t>Interest</t>
  </si>
  <si>
    <t>OMPA</t>
  </si>
  <si>
    <t>WFEC</t>
  </si>
  <si>
    <t>Monthly Rate</t>
  </si>
  <si>
    <t>True-up Values:  Surcharge / (Refund)</t>
  </si>
  <si>
    <t>Sched.</t>
  </si>
  <si>
    <t>ETEC</t>
  </si>
  <si>
    <t>AECC</t>
  </si>
  <si>
    <t>Greenbelt</t>
  </si>
  <si>
    <t>Lighthouse</t>
  </si>
  <si>
    <t>Coffeyville, KS</t>
  </si>
  <si>
    <t>Grand Total</t>
  </si>
  <si>
    <t>OG&amp;E</t>
  </si>
  <si>
    <t>AEP Revenue Adjustment</t>
  </si>
  <si>
    <t>PSO</t>
  </si>
  <si>
    <t>SWEPCO</t>
  </si>
  <si>
    <r>
      <t xml:space="preserve">NOTE:  </t>
    </r>
    <r>
      <rPr>
        <sz val="10"/>
        <rFont val="Arial"/>
        <family val="2"/>
      </rPr>
      <t>This is a normal part of the Annual True-up</t>
    </r>
  </si>
  <si>
    <t>Data</t>
  </si>
  <si>
    <t>Sum of True-Up w/o Interest</t>
  </si>
  <si>
    <t>Sum of Interest</t>
  </si>
  <si>
    <t>Sum of Total True-up</t>
  </si>
  <si>
    <t>Total Sum of True-Up w/o Interest</t>
  </si>
  <si>
    <t>Total Sum of Interest</t>
  </si>
  <si>
    <t>Total Sum of Total True-up</t>
  </si>
  <si>
    <t>(A)</t>
  </si>
  <si>
    <t>(B)</t>
  </si>
  <si>
    <t>(C)</t>
  </si>
  <si>
    <t>(D) = (B) - (C)</t>
  </si>
  <si>
    <t>(E)</t>
  </si>
  <si>
    <t>Network Customer True-Up (Schedule 9 charges)</t>
  </si>
  <si>
    <t>Projected</t>
  </si>
  <si>
    <r>
      <t xml:space="preserve">Projected </t>
    </r>
    <r>
      <rPr>
        <sz val="10"/>
        <rFont val="Arial Narrow"/>
        <family val="2"/>
      </rPr>
      <t>(Invoiced)</t>
    </r>
  </si>
  <si>
    <t xml:space="preserve">  ARR</t>
  </si>
  <si>
    <t xml:space="preserve">  Monthly Rates</t>
  </si>
  <si>
    <r>
      <t>Actual</t>
    </r>
    <r>
      <rPr>
        <sz val="10"/>
        <rFont val="Arial Narrow"/>
        <family val="2"/>
      </rPr>
      <t xml:space="preserve"> (True-Up)</t>
    </r>
  </si>
  <si>
    <r>
      <t xml:space="preserve">Actual </t>
    </r>
    <r>
      <rPr>
        <sz val="10"/>
        <rFont val="Arial Narrow"/>
        <family val="2"/>
      </rPr>
      <t>(True-Up)</t>
    </r>
  </si>
  <si>
    <t xml:space="preserve">    Non-Affiliate
    Subtotals</t>
  </si>
  <si>
    <t>TOTALS</t>
  </si>
  <si>
    <t>Comment</t>
  </si>
  <si>
    <t>Actual True-Up Rate</t>
  </si>
  <si>
    <t>Invoiced*** Charge (proj.)</t>
  </si>
  <si>
    <r>
      <t>Projected Rate</t>
    </r>
    <r>
      <rPr>
        <sz val="8"/>
        <rFont val="Arial"/>
        <family val="2"/>
      </rPr>
      <t xml:space="preserve"> (as Invoiced)</t>
    </r>
  </si>
  <si>
    <t>Sum of Invoiced*** Charge (proj.)</t>
  </si>
  <si>
    <t xml:space="preserve">  Customer</t>
  </si>
  <si>
    <t xml:space="preserve">    Affiliate
    Subtotals</t>
  </si>
  <si>
    <t>Customer True-Up for Amounts Billed</t>
  </si>
  <si>
    <t>Serivce Month</t>
  </si>
  <si>
    <t>Bentonville, AR</t>
  </si>
  <si>
    <t>Prescott, AR</t>
  </si>
  <si>
    <t>Minden, LA</t>
  </si>
  <si>
    <t>Hope, AR</t>
  </si>
  <si>
    <t>3rd Party Totals</t>
  </si>
  <si>
    <t>SPP Zone1 Totals (incl. PSO/SWE)</t>
  </si>
  <si>
    <t>Surcharge / (Refund)</t>
  </si>
  <si>
    <t>Total Sum of Invoiced*** Charge (proj.)</t>
  </si>
  <si>
    <r>
      <t xml:space="preserve">*** </t>
    </r>
    <r>
      <rPr>
        <sz val="8"/>
        <rFont val="Arial"/>
        <family val="2"/>
      </rPr>
      <t>Invoiced Charge reflects any subsequent routine invoice corrections by SPP.</t>
    </r>
  </si>
  <si>
    <t>Instructions</t>
  </si>
  <si>
    <r>
      <t>Roll Date: input trueup year in cell=</t>
    </r>
    <r>
      <rPr>
        <b/>
        <i/>
        <sz val="10"/>
        <rFont val="Arial"/>
        <family val="2"/>
      </rPr>
      <t>Transactions!N1</t>
    </r>
  </si>
  <si>
    <t>Update Prime Rates data:  see Prime-Rates tab</t>
  </si>
  <si>
    <r>
      <t>Verify Refund Date:  verify and change (if needed) Refund Date celll=</t>
    </r>
    <r>
      <rPr>
        <b/>
        <i/>
        <sz val="10"/>
        <rFont val="Arial"/>
        <family val="2"/>
      </rPr>
      <t>Transactions!W8</t>
    </r>
  </si>
  <si>
    <t>Billing/Pmt Rec'd Dates:  Verify these dates (currently set to formulaicly update relative to trueup year)</t>
  </si>
  <si>
    <t>Update SPP Zone1 NITS Customer list &amp; formulas (if needed): look at LoadWS in main template &amp; also check w/Load Settlements.</t>
  </si>
  <si>
    <t>Update invoiced Load values per month per customer (from LoadWS in main template) (transpose)</t>
  </si>
  <si>
    <t>Sum of True-Up Charge</t>
  </si>
  <si>
    <t>Total Sum of True-Up Charge</t>
  </si>
  <si>
    <r>
      <t xml:space="preserve">Refresh Pivot Table in </t>
    </r>
    <r>
      <rPr>
        <b/>
        <sz val="10"/>
        <rFont val="Arial"/>
        <family val="2"/>
      </rPr>
      <t>tab=PIVOT</t>
    </r>
  </si>
  <si>
    <t>NOTE:  Be aware that title changes to a Transaction tab column summarized in the pivot table cause such column to be dropped form the pivot table when it is refreshed.</t>
  </si>
  <si>
    <t>NOTE:  In that instance, manually update the LAYOUT of the pivot table to re-summarize the column that encountered a title change.</t>
  </si>
  <si>
    <t>NOTE:  The SUMMARY table in that tab contains GETPIVOTDATA functions that should still work as they reference tltle cells in Transactions tab.</t>
  </si>
  <si>
    <t>Update Rate Summary tab. (very manual process).</t>
  </si>
  <si>
    <t xml:space="preserve">            as contemplated in the AEP Formula Rate Protocols.</t>
  </si>
  <si>
    <t>NOTE:  "Rate Summary" tab is usually "walked-through" during customer meeting but not printed.</t>
  </si>
  <si>
    <t>NOTE:  Print to PDF the "Summary" tab as a supplement for customer Mtg handout and published PDFs.</t>
  </si>
  <si>
    <r>
      <t>Input Sched 9 ATRRs &amp; rates from prior 2 update's (projected) and this year's update (trueup)=</t>
    </r>
    <r>
      <rPr>
        <b/>
        <i/>
        <sz val="10"/>
        <rFont val="Arial"/>
        <family val="2"/>
      </rPr>
      <t>Transactions!J2:K8</t>
    </r>
  </si>
  <si>
    <t>SWEPCO-Valley</t>
  </si>
  <si>
    <t>* SPP bills customer on third business day, AEP receives on 24th or next business day.</t>
  </si>
  <si>
    <t>AECI</t>
  </si>
  <si>
    <t>Tax Rebilling Rate</t>
  </si>
  <si>
    <t>Tax True Up Billing</t>
  </si>
  <si>
    <t>Tax True Up</t>
  </si>
  <si>
    <t>Sum of Tax True Up Billing</t>
  </si>
  <si>
    <t>Total Sum of Tax True Up Billing</t>
  </si>
  <si>
    <t>Sum of Tax True Up</t>
  </si>
  <si>
    <t>Total Sum of Tax True Up</t>
  </si>
  <si>
    <t>(G) = (D) + (E) - (F)</t>
  </si>
  <si>
    <t>(G)</t>
  </si>
  <si>
    <t>January - December</t>
  </si>
  <si>
    <t>PUBLIC SERVICE COMPANY of OKLAHOMA &amp; SOUTHWESTERN ELECTRIC POWER</t>
  </si>
  <si>
    <t>AEPTCo Formula Rate -- FERC Docket ER18-195</t>
  </si>
  <si>
    <r>
      <t>2023 True-Up
(</t>
    </r>
    <r>
      <rPr>
        <sz val="10"/>
        <rFont val="Arial"/>
        <family val="2"/>
      </rPr>
      <t>w/o Interest)</t>
    </r>
  </si>
  <si>
    <t>2023 Interest</t>
  </si>
  <si>
    <t>Total 2023
True-Up Surcharge / (Refund)</t>
  </si>
  <si>
    <t>Total</t>
  </si>
  <si>
    <t>2021 NOLC Refund Amount with Interest (NITS)</t>
  </si>
  <si>
    <t>2021 Formal Challenge Refund with Interest</t>
  </si>
  <si>
    <t>2021 Load Share</t>
  </si>
  <si>
    <t>2023 True Up Including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</si>
</sst>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"/>
    <numFmt numFmtId="168" formatCode="0.0%"/>
  </numFmts>
  <fonts count="2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name val="Arial"/>
      <family val="2"/>
    </font>
    <font>
      <i/>
      <sz val="9"/>
      <color indexed="10"/>
      <name val="Arial"/>
      <family val="2"/>
    </font>
    <font>
      <b/>
      <sz val="10"/>
      <color indexed="12"/>
      <name val="Arial"/>
      <family val="2"/>
    </font>
    <font>
      <b/>
      <i/>
      <sz val="10"/>
      <name val="Arial"/>
      <family val="2"/>
    </font>
    <font>
      <sz val="10"/>
      <color rgb="FF0000FF"/>
      <name val="Arial"/>
      <family val="2"/>
    </font>
    <font>
      <sz val="8"/>
      <color rgb="FF0066FF"/>
      <name val="Arial"/>
      <family val="2"/>
    </font>
    <font>
      <sz val="1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Protection="1"/>
    <xf numFmtId="0" fontId="0" fillId="0" borderId="0" xfId="0" applyFill="1" applyProtection="1"/>
    <xf numFmtId="0" fontId="0" fillId="0" borderId="0" xfId="0" quotePrefix="1" applyAlignment="1" applyProtection="1">
      <alignment horizontal="left"/>
    </xf>
    <xf numFmtId="0" fontId="2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23" fillId="6" borderId="0" xfId="0" applyFont="1" applyFill="1" applyProtection="1"/>
    <xf numFmtId="0" fontId="2" fillId="2" borderId="0" xfId="0" quotePrefix="1" applyFont="1" applyFill="1" applyAlignment="1" applyProtection="1">
      <alignment horizontal="left"/>
    </xf>
    <xf numFmtId="0" fontId="0" fillId="2" borderId="0" xfId="0" applyFill="1" applyProtection="1"/>
    <xf numFmtId="0" fontId="10" fillId="0" borderId="0" xfId="0" quotePrefix="1" applyFont="1" applyAlignment="1" applyProtection="1">
      <alignment horizontal="left"/>
    </xf>
    <xf numFmtId="0" fontId="3" fillId="0" borderId="0" xfId="0" quotePrefix="1" applyFont="1" applyAlignment="1" applyProtection="1">
      <alignment horizontal="left"/>
    </xf>
    <xf numFmtId="0" fontId="16" fillId="0" borderId="1" xfId="0" quotePrefix="1" applyFont="1" applyFill="1" applyBorder="1" applyAlignment="1" applyProtection="1">
      <alignment horizontal="center" vertical="center"/>
    </xf>
    <xf numFmtId="0" fontId="15" fillId="0" borderId="2" xfId="0" quotePrefix="1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15" fillId="0" borderId="4" xfId="0" quotePrefix="1" applyFont="1" applyBorder="1" applyAlignment="1" applyProtection="1">
      <alignment horizontal="right"/>
    </xf>
    <xf numFmtId="0" fontId="15" fillId="0" borderId="0" xfId="0" quotePrefix="1" applyFont="1" applyBorder="1" applyAlignment="1" applyProtection="1">
      <alignment horizontal="right"/>
    </xf>
    <xf numFmtId="164" fontId="4" fillId="0" borderId="0" xfId="0" applyNumberFormat="1" applyFont="1" applyFill="1" applyBorder="1" applyAlignment="1" applyProtection="1">
      <alignment horizontal="centerContinuous"/>
    </xf>
    <xf numFmtId="0" fontId="14" fillId="0" borderId="5" xfId="0" applyFont="1" applyBorder="1" applyAlignment="1" applyProtection="1">
      <alignment horizontal="center" vertical="center" wrapText="1"/>
    </xf>
    <xf numFmtId="0" fontId="14" fillId="0" borderId="0" xfId="0" quotePrefix="1" applyFont="1" applyAlignment="1" applyProtection="1">
      <alignment horizontal="center" vertical="center" wrapText="1"/>
    </xf>
    <xf numFmtId="0" fontId="14" fillId="0" borderId="6" xfId="0" quotePrefix="1" applyFont="1" applyBorder="1" applyAlignment="1" applyProtection="1">
      <alignment horizontal="center" vertical="center" wrapText="1"/>
    </xf>
    <xf numFmtId="0" fontId="14" fillId="0" borderId="0" xfId="0" quotePrefix="1" applyFont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/>
    </xf>
    <xf numFmtId="0" fontId="15" fillId="0" borderId="2" xfId="0" quotePrefix="1" applyFont="1" applyBorder="1" applyAlignment="1" applyProtection="1">
      <alignment horizontal="left" vertical="center"/>
    </xf>
    <xf numFmtId="0" fontId="15" fillId="0" borderId="3" xfId="0" quotePrefix="1" applyFont="1" applyBorder="1" applyAlignment="1" applyProtection="1">
      <alignment horizontal="left" vertical="center"/>
    </xf>
    <xf numFmtId="167" fontId="1" fillId="0" borderId="3" xfId="0" applyNumberFormat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</xf>
    <xf numFmtId="167" fontId="13" fillId="0" borderId="4" xfId="0" applyNumberFormat="1" applyFont="1" applyFill="1" applyBorder="1" applyAlignment="1" applyProtection="1">
      <alignment horizontal="center" vertical="center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vertical="center"/>
    </xf>
    <xf numFmtId="0" fontId="15" fillId="0" borderId="8" xfId="0" quotePrefix="1" applyFont="1" applyBorder="1" applyAlignment="1" applyProtection="1">
      <alignment horizontal="left" vertical="center"/>
    </xf>
    <xf numFmtId="0" fontId="12" fillId="0" borderId="8" xfId="0" quotePrefix="1" applyFont="1" applyFill="1" applyBorder="1" applyAlignment="1" applyProtection="1">
      <alignment horizontal="center" vertical="center"/>
    </xf>
    <xf numFmtId="167" fontId="13" fillId="0" borderId="8" xfId="0" quotePrefix="1" applyNumberFormat="1" applyFont="1" applyFill="1" applyBorder="1" applyAlignment="1" applyProtection="1">
      <alignment horizontal="center" vertical="center"/>
    </xf>
    <xf numFmtId="0" fontId="13" fillId="0" borderId="9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15" fillId="0" borderId="10" xfId="0" quotePrefix="1" applyFont="1" applyBorder="1" applyAlignment="1" applyProtection="1">
      <alignment horizontal="left" vertical="center"/>
    </xf>
    <xf numFmtId="0" fontId="15" fillId="0" borderId="0" xfId="0" quotePrefix="1" applyFont="1" applyBorder="1" applyAlignment="1" applyProtection="1">
      <alignment horizontal="left" vertical="center"/>
    </xf>
    <xf numFmtId="164" fontId="13" fillId="0" borderId="0" xfId="0" quotePrefix="1" applyNumberFormat="1" applyFont="1" applyFill="1" applyBorder="1" applyAlignment="1" applyProtection="1">
      <alignment horizontal="center" vertical="center" wrapText="1"/>
    </xf>
    <xf numFmtId="164" fontId="13" fillId="0" borderId="11" xfId="0" quotePrefix="1" applyNumberFormat="1" applyFont="1" applyFill="1" applyBorder="1" applyAlignment="1" applyProtection="1">
      <alignment horizontal="center" vertical="center"/>
    </xf>
    <xf numFmtId="164" fontId="13" fillId="0" borderId="0" xfId="0" quotePrefix="1" applyNumberFormat="1" applyFont="1" applyFill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vertical="center"/>
    </xf>
    <xf numFmtId="0" fontId="15" fillId="0" borderId="1" xfId="0" quotePrefix="1" applyFont="1" applyBorder="1" applyAlignment="1" applyProtection="1">
      <alignment horizontal="left" vertical="center"/>
    </xf>
    <xf numFmtId="0" fontId="12" fillId="0" borderId="1" xfId="0" applyFont="1" applyFill="1" applyBorder="1" applyAlignment="1" applyProtection="1">
      <alignment horizontal="center" vertical="center"/>
    </xf>
    <xf numFmtId="164" fontId="1" fillId="0" borderId="1" xfId="0" quotePrefix="1" applyNumberFormat="1" applyFont="1" applyFill="1" applyBorder="1" applyAlignment="1" applyProtection="1">
      <alignment horizontal="center" vertical="center"/>
    </xf>
    <xf numFmtId="0" fontId="13" fillId="0" borderId="6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4" fillId="0" borderId="0" xfId="0" quotePrefix="1" applyFont="1" applyFill="1" applyBorder="1" applyAlignment="1" applyProtection="1">
      <alignment horizontal="left"/>
    </xf>
    <xf numFmtId="0" fontId="10" fillId="0" borderId="0" xfId="0" applyFont="1" applyFill="1" applyBorder="1" applyProtection="1"/>
    <xf numFmtId="0" fontId="10" fillId="0" borderId="0" xfId="0" quotePrefix="1" applyFont="1" applyFill="1" applyBorder="1" applyAlignment="1" applyProtection="1">
      <alignment horizontal="center"/>
    </xf>
    <xf numFmtId="164" fontId="0" fillId="0" borderId="0" xfId="0" applyNumberFormat="1" applyBorder="1" applyAlignment="1" applyProtection="1">
      <alignment horizontal="center"/>
    </xf>
    <xf numFmtId="0" fontId="0" fillId="0" borderId="0" xfId="0" applyBorder="1" applyProtection="1"/>
    <xf numFmtId="165" fontId="0" fillId="0" borderId="0" xfId="2" applyNumberFormat="1" applyFont="1" applyBorder="1" applyProtection="1"/>
    <xf numFmtId="0" fontId="0" fillId="0" borderId="0" xfId="0" quotePrefix="1" applyBorder="1" applyAlignment="1" applyProtection="1">
      <alignment horizontal="left"/>
    </xf>
    <xf numFmtId="0" fontId="0" fillId="0" borderId="0" xfId="0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3" fillId="0" borderId="12" xfId="0" quotePrefix="1" applyFont="1" applyBorder="1" applyAlignment="1" applyProtection="1">
      <alignment horizontal="left" vertical="center" wrapText="1"/>
    </xf>
    <xf numFmtId="0" fontId="3" fillId="0" borderId="13" xfId="0" quotePrefix="1" applyFont="1" applyBorder="1" applyAlignment="1" applyProtection="1">
      <alignment horizontal="center" vertical="center" wrapText="1"/>
    </xf>
    <xf numFmtId="0" fontId="3" fillId="0" borderId="14" xfId="0" quotePrefix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quotePrefix="1" applyFont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0" fillId="0" borderId="10" xfId="0" applyBorder="1" applyProtection="1"/>
    <xf numFmtId="165" fontId="0" fillId="0" borderId="17" xfId="2" applyNumberFormat="1" applyFont="1" applyBorder="1" applyProtection="1"/>
    <xf numFmtId="165" fontId="0" fillId="0" borderId="18" xfId="2" applyNumberFormat="1" applyFont="1" applyBorder="1" applyProtection="1"/>
    <xf numFmtId="0" fontId="0" fillId="0" borderId="10" xfId="0" quotePrefix="1" applyBorder="1" applyAlignment="1" applyProtection="1">
      <alignment horizontal="left"/>
    </xf>
    <xf numFmtId="43" fontId="0" fillId="0" borderId="0" xfId="0" applyNumberFormat="1" applyBorder="1" applyProtection="1"/>
    <xf numFmtId="0" fontId="0" fillId="0" borderId="20" xfId="0" applyBorder="1" applyProtection="1"/>
    <xf numFmtId="0" fontId="9" fillId="3" borderId="21" xfId="0" quotePrefix="1" applyFont="1" applyFill="1" applyBorder="1" applyAlignment="1" applyProtection="1">
      <alignment horizontal="left" vertical="center" wrapText="1"/>
    </xf>
    <xf numFmtId="165" fontId="0" fillId="3" borderId="22" xfId="2" applyNumberFormat="1" applyFont="1" applyFill="1" applyBorder="1" applyAlignment="1" applyProtection="1">
      <alignment vertical="center"/>
    </xf>
    <xf numFmtId="165" fontId="0" fillId="3" borderId="23" xfId="2" applyNumberFormat="1" applyFont="1" applyFill="1" applyBorder="1" applyAlignment="1" applyProtection="1">
      <alignment vertical="center"/>
    </xf>
    <xf numFmtId="165" fontId="3" fillId="3" borderId="24" xfId="2" applyNumberFormat="1" applyFont="1" applyFill="1" applyBorder="1" applyAlignment="1" applyProtection="1">
      <alignment vertical="center"/>
    </xf>
    <xf numFmtId="0" fontId="0" fillId="0" borderId="26" xfId="0" quotePrefix="1" applyBorder="1" applyAlignment="1" applyProtection="1">
      <alignment horizontal="left"/>
    </xf>
    <xf numFmtId="0" fontId="0" fillId="0" borderId="19" xfId="0" applyBorder="1" applyProtection="1"/>
    <xf numFmtId="0" fontId="0" fillId="0" borderId="27" xfId="0" applyBorder="1" applyProtection="1"/>
    <xf numFmtId="0" fontId="9" fillId="0" borderId="21" xfId="0" quotePrefix="1" applyFont="1" applyFill="1" applyBorder="1" applyAlignment="1" applyProtection="1">
      <alignment horizontal="left" vertical="center" wrapText="1"/>
    </xf>
    <xf numFmtId="165" fontId="0" fillId="0" borderId="22" xfId="2" applyNumberFormat="1" applyFont="1" applyFill="1" applyBorder="1" applyAlignment="1" applyProtection="1">
      <alignment vertical="center"/>
    </xf>
    <xf numFmtId="165" fontId="0" fillId="0" borderId="23" xfId="2" applyNumberFormat="1" applyFont="1" applyFill="1" applyBorder="1" applyAlignment="1" applyProtection="1">
      <alignment vertical="center"/>
    </xf>
    <xf numFmtId="165" fontId="3" fillId="0" borderId="24" xfId="2" applyNumberFormat="1" applyFont="1" applyFill="1" applyBorder="1" applyAlignment="1" applyProtection="1">
      <alignment vertical="center"/>
    </xf>
    <xf numFmtId="166" fontId="0" fillId="0" borderId="0" xfId="1" applyNumberFormat="1" applyFont="1" applyProtection="1"/>
    <xf numFmtId="0" fontId="9" fillId="0" borderId="5" xfId="0" quotePrefix="1" applyFont="1" applyBorder="1" applyAlignment="1" applyProtection="1">
      <alignment horizontal="center" vertical="center" wrapText="1"/>
    </xf>
    <xf numFmtId="165" fontId="0" fillId="0" borderId="28" xfId="2" applyNumberFormat="1" applyFont="1" applyBorder="1" applyAlignment="1" applyProtection="1">
      <alignment vertical="center"/>
    </xf>
    <xf numFmtId="165" fontId="0" fillId="0" borderId="29" xfId="2" applyNumberFormat="1" applyFont="1" applyBorder="1" applyAlignment="1" applyProtection="1">
      <alignment vertical="center"/>
    </xf>
    <xf numFmtId="165" fontId="0" fillId="0" borderId="30" xfId="2" applyNumberFormat="1" applyFont="1" applyBorder="1" applyAlignment="1" applyProtection="1">
      <alignment vertical="center"/>
    </xf>
    <xf numFmtId="165" fontId="0" fillId="0" borderId="31" xfId="2" applyNumberFormat="1" applyFont="1" applyBorder="1" applyAlignment="1" applyProtection="1">
      <alignment vertical="center"/>
    </xf>
    <xf numFmtId="166" fontId="0" fillId="0" borderId="0" xfId="0" applyNumberFormat="1" applyProtection="1"/>
    <xf numFmtId="0" fontId="0" fillId="0" borderId="36" xfId="0" applyBorder="1" applyProtection="1"/>
    <xf numFmtId="0" fontId="0" fillId="0" borderId="37" xfId="0" applyBorder="1" applyProtection="1"/>
    <xf numFmtId="0" fontId="0" fillId="0" borderId="36" xfId="0" pivotButton="1" applyBorder="1" applyProtection="1"/>
    <xf numFmtId="0" fontId="0" fillId="0" borderId="38" xfId="0" applyBorder="1" applyProtection="1"/>
    <xf numFmtId="17" fontId="0" fillId="0" borderId="36" xfId="0" applyNumberFormat="1" applyBorder="1" applyProtection="1"/>
    <xf numFmtId="17" fontId="0" fillId="0" borderId="39" xfId="0" applyNumberFormat="1" applyBorder="1" applyProtection="1"/>
    <xf numFmtId="17" fontId="0" fillId="0" borderId="40" xfId="0" applyNumberFormat="1" applyBorder="1" applyProtection="1"/>
    <xf numFmtId="166" fontId="0" fillId="0" borderId="36" xfId="0" applyNumberFormat="1" applyBorder="1" applyProtection="1"/>
    <xf numFmtId="166" fontId="0" fillId="0" borderId="39" xfId="0" applyNumberFormat="1" applyBorder="1" applyProtection="1"/>
    <xf numFmtId="166" fontId="0" fillId="0" borderId="40" xfId="0" applyNumberFormat="1" applyBorder="1" applyProtection="1"/>
    <xf numFmtId="0" fontId="0" fillId="0" borderId="41" xfId="0" applyBorder="1" applyProtection="1"/>
    <xf numFmtId="166" fontId="0" fillId="0" borderId="41" xfId="0" applyNumberFormat="1" applyBorder="1" applyProtection="1"/>
    <xf numFmtId="166" fontId="0" fillId="0" borderId="42" xfId="0" applyNumberFormat="1" applyBorder="1" applyProtection="1"/>
    <xf numFmtId="0" fontId="0" fillId="0" borderId="43" xfId="0" applyBorder="1" applyProtection="1"/>
    <xf numFmtId="166" fontId="0" fillId="0" borderId="43" xfId="0" applyNumberFormat="1" applyBorder="1" applyProtection="1"/>
    <xf numFmtId="166" fontId="0" fillId="0" borderId="44" xfId="0" applyNumberFormat="1" applyBorder="1" applyProtection="1"/>
    <xf numFmtId="166" fontId="0" fillId="0" borderId="45" xfId="0" applyNumberFormat="1" applyBorder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164" fontId="4" fillId="0" borderId="2" xfId="0" applyNumberFormat="1" applyFont="1" applyBorder="1" applyAlignment="1" applyProtection="1">
      <alignment horizontal="center"/>
    </xf>
    <xf numFmtId="164" fontId="4" fillId="0" borderId="3" xfId="0" applyNumberFormat="1" applyFont="1" applyBorder="1" applyAlignment="1" applyProtection="1">
      <alignment horizontal="centerContinuous"/>
    </xf>
    <xf numFmtId="0" fontId="0" fillId="0" borderId="3" xfId="0" applyBorder="1" applyAlignment="1" applyProtection="1">
      <alignment horizontal="centerContinuous"/>
    </xf>
    <xf numFmtId="164" fontId="9" fillId="0" borderId="14" xfId="0" applyNumberFormat="1" applyFont="1" applyBorder="1" applyAlignment="1" applyProtection="1">
      <alignment horizontal="center" wrapText="1"/>
    </xf>
    <xf numFmtId="164" fontId="4" fillId="0" borderId="14" xfId="0" applyNumberFormat="1" applyFont="1" applyBorder="1" applyAlignment="1" applyProtection="1">
      <alignment horizontal="center" wrapText="1"/>
    </xf>
    <xf numFmtId="0" fontId="0" fillId="0" borderId="16" xfId="0" applyBorder="1" applyProtection="1"/>
    <xf numFmtId="0" fontId="21" fillId="6" borderId="0" xfId="0" applyFont="1" applyFill="1" applyProtection="1"/>
    <xf numFmtId="0" fontId="0" fillId="0" borderId="1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167" fontId="7" fillId="6" borderId="0" xfId="0" applyNumberFormat="1" applyFont="1" applyFill="1" applyBorder="1" applyAlignment="1" applyProtection="1">
      <alignment horizontal="right"/>
    </xf>
    <xf numFmtId="10" fontId="24" fillId="0" borderId="0" xfId="4" quotePrefix="1" applyNumberFormat="1" applyFont="1" applyBorder="1" applyAlignment="1" applyProtection="1">
      <alignment horizontal="left"/>
    </xf>
    <xf numFmtId="0" fontId="0" fillId="0" borderId="11" xfId="0" applyBorder="1" applyProtection="1"/>
    <xf numFmtId="164" fontId="7" fillId="6" borderId="0" xfId="0" applyNumberFormat="1" applyFont="1" applyFill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11" xfId="0" applyBorder="1" applyAlignment="1" applyProtection="1">
      <alignment horizontal="center"/>
    </xf>
    <xf numFmtId="168" fontId="0" fillId="0" borderId="11" xfId="4" applyNumberFormat="1" applyFont="1" applyBorder="1" applyAlignment="1" applyProtection="1">
      <alignment horizontal="center"/>
    </xf>
    <xf numFmtId="168" fontId="0" fillId="0" borderId="0" xfId="4" applyNumberFormat="1" applyFont="1" applyBorder="1" applyAlignment="1" applyProtection="1">
      <alignment horizontal="center"/>
    </xf>
    <xf numFmtId="0" fontId="0" fillId="0" borderId="32" xfId="0" applyBorder="1" applyProtection="1"/>
    <xf numFmtId="164" fontId="4" fillId="0" borderId="10" xfId="0" applyNumberFormat="1" applyFont="1" applyBorder="1" applyAlignment="1" applyProtection="1">
      <alignment horizontal="center"/>
    </xf>
    <xf numFmtId="164" fontId="4" fillId="0" borderId="0" xfId="0" applyNumberFormat="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Continuous"/>
    </xf>
    <xf numFmtId="164" fontId="19" fillId="0" borderId="0" xfId="0" applyNumberFormat="1" applyFont="1" applyBorder="1" applyAlignment="1" applyProtection="1">
      <alignment horizontal="center" wrapText="1"/>
    </xf>
    <xf numFmtId="164" fontId="4" fillId="0" borderId="0" xfId="0" quotePrefix="1" applyNumberFormat="1" applyFont="1" applyBorder="1" applyAlignment="1" applyProtection="1">
      <alignment horizontal="center" wrapText="1"/>
    </xf>
    <xf numFmtId="164" fontId="4" fillId="0" borderId="0" xfId="0" applyNumberFormat="1" applyFont="1" applyBorder="1" applyAlignment="1" applyProtection="1">
      <alignment horizontal="center" wrapText="1"/>
    </xf>
    <xf numFmtId="167" fontId="1" fillId="0" borderId="0" xfId="0" applyNumberFormat="1" applyFont="1" applyFill="1" applyBorder="1" applyAlignment="1" applyProtection="1">
      <alignment horizontal="right"/>
    </xf>
    <xf numFmtId="168" fontId="0" fillId="0" borderId="11" xfId="0" applyNumberFormat="1" applyBorder="1" applyProtection="1"/>
    <xf numFmtId="168" fontId="0" fillId="0" borderId="0" xfId="0" applyNumberFormat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0" fontId="1" fillId="0" borderId="0" xfId="0" quotePrefix="1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164" fontId="20" fillId="0" borderId="0" xfId="0" quotePrefix="1" applyNumberFormat="1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quotePrefix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164" fontId="20" fillId="0" borderId="1" xfId="0" quotePrefix="1" applyNumberFormat="1" applyFont="1" applyFill="1" applyBorder="1" applyAlignment="1" applyProtection="1">
      <alignment horizontal="left"/>
    </xf>
    <xf numFmtId="164" fontId="1" fillId="0" borderId="1" xfId="0" applyNumberFormat="1" applyFont="1" applyFill="1" applyBorder="1" applyAlignment="1" applyProtection="1">
      <alignment horizontal="right"/>
    </xf>
    <xf numFmtId="10" fontId="1" fillId="0" borderId="1" xfId="4" quotePrefix="1" applyNumberFormat="1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11" fillId="0" borderId="0" xfId="0" quotePrefix="1" applyFont="1" applyAlignment="1" applyProtection="1">
      <alignment horizontal="left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right"/>
    </xf>
    <xf numFmtId="10" fontId="0" fillId="0" borderId="0" xfId="4" applyNumberFormat="1" applyFont="1" applyAlignment="1" applyProtection="1">
      <alignment horizontal="center"/>
    </xf>
    <xf numFmtId="0" fontId="0" fillId="0" borderId="32" xfId="0" quotePrefix="1" applyBorder="1" applyAlignment="1" applyProtection="1">
      <alignment horizontal="right"/>
    </xf>
    <xf numFmtId="0" fontId="0" fillId="0" borderId="23" xfId="0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164" fontId="3" fillId="0" borderId="25" xfId="0" applyNumberFormat="1" applyFont="1" applyBorder="1" applyAlignment="1" applyProtection="1">
      <alignment horizontal="right"/>
    </xf>
    <xf numFmtId="167" fontId="0" fillId="0" borderId="23" xfId="0" applyNumberFormat="1" applyBorder="1" applyAlignment="1" applyProtection="1">
      <alignment horizontal="center"/>
    </xf>
    <xf numFmtId="167" fontId="0" fillId="4" borderId="25" xfId="0" applyNumberFormat="1" applyFill="1" applyBorder="1" applyAlignment="1" applyProtection="1">
      <alignment horizontal="center"/>
    </xf>
    <xf numFmtId="167" fontId="0" fillId="0" borderId="33" xfId="0" applyNumberForma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4" fontId="3" fillId="0" borderId="27" xfId="0" applyNumberFormat="1" applyFont="1" applyBorder="1" applyAlignment="1" applyProtection="1">
      <alignment horizontal="right"/>
    </xf>
    <xf numFmtId="14" fontId="1" fillId="0" borderId="17" xfId="0" quotePrefix="1" applyNumberFormat="1" applyFont="1" applyFill="1" applyBorder="1" applyAlignment="1" applyProtection="1">
      <alignment horizontal="left"/>
    </xf>
    <xf numFmtId="164" fontId="5" fillId="0" borderId="0" xfId="0" applyNumberFormat="1" applyFont="1" applyBorder="1" applyAlignment="1" applyProtection="1">
      <alignment horizontal="center"/>
    </xf>
    <xf numFmtId="164" fontId="5" fillId="0" borderId="32" xfId="0" applyNumberFormat="1" applyFont="1" applyBorder="1" applyAlignment="1" applyProtection="1">
      <alignment horizontal="right"/>
    </xf>
    <xf numFmtId="0" fontId="1" fillId="0" borderId="0" xfId="0" quotePrefix="1" applyFont="1" applyAlignment="1" applyProtection="1">
      <alignment horizontal="left"/>
    </xf>
    <xf numFmtId="166" fontId="1" fillId="0" borderId="0" xfId="1" applyNumberFormat="1" applyFont="1" applyFill="1" applyAlignment="1" applyProtection="1">
      <alignment horizontal="right"/>
    </xf>
    <xf numFmtId="166" fontId="1" fillId="0" borderId="0" xfId="1" quotePrefix="1" applyNumberFormat="1" applyFont="1" applyFill="1" applyAlignment="1" applyProtection="1">
      <alignment horizontal="left"/>
    </xf>
    <xf numFmtId="164" fontId="5" fillId="0" borderId="32" xfId="0" applyNumberFormat="1" applyFont="1" applyBorder="1" applyAlignment="1" applyProtection="1">
      <alignment horizontal="center"/>
    </xf>
    <xf numFmtId="14" fontId="0" fillId="0" borderId="17" xfId="0" quotePrefix="1" applyNumberFormat="1" applyFill="1" applyBorder="1" applyAlignment="1" applyProtection="1">
      <alignment horizontal="left"/>
    </xf>
    <xf numFmtId="44" fontId="5" fillId="0" borderId="0" xfId="2" applyNumberFormat="1" applyFont="1" applyAlignment="1" applyProtection="1">
      <alignment horizontal="center"/>
    </xf>
    <xf numFmtId="9" fontId="1" fillId="0" borderId="0" xfId="4" applyFont="1" applyAlignment="1" applyProtection="1">
      <alignment horizontal="center"/>
    </xf>
    <xf numFmtId="44" fontId="5" fillId="0" borderId="0" xfId="2" applyFont="1" applyAlignment="1" applyProtection="1">
      <alignment horizontal="center"/>
    </xf>
    <xf numFmtId="44" fontId="5" fillId="0" borderId="32" xfId="2" applyFont="1" applyBorder="1" applyAlignment="1" applyProtection="1">
      <alignment horizontal="center"/>
    </xf>
    <xf numFmtId="165" fontId="1" fillId="0" borderId="0" xfId="2" applyNumberFormat="1" applyFont="1" applyAlignment="1" applyProtection="1">
      <alignment horizontal="center"/>
    </xf>
    <xf numFmtId="0" fontId="4" fillId="0" borderId="0" xfId="0" quotePrefix="1" applyFont="1" applyBorder="1" applyAlignment="1" applyProtection="1">
      <alignment horizontal="center"/>
    </xf>
    <xf numFmtId="0" fontId="4" fillId="0" borderId="34" xfId="0" quotePrefix="1" applyFont="1" applyBorder="1" applyAlignment="1" applyProtection="1">
      <alignment horizontal="center"/>
    </xf>
    <xf numFmtId="164" fontId="4" fillId="0" borderId="22" xfId="0" quotePrefix="1" applyNumberFormat="1" applyFont="1" applyBorder="1" applyAlignment="1" applyProtection="1">
      <alignment horizontal="center" vertical="center" wrapText="1"/>
    </xf>
    <xf numFmtId="0" fontId="4" fillId="0" borderId="23" xfId="0" quotePrefix="1" applyFont="1" applyBorder="1" applyAlignment="1" applyProtection="1">
      <alignment horizontal="center" vertical="center" wrapText="1"/>
    </xf>
    <xf numFmtId="164" fontId="4" fillId="5" borderId="23" xfId="0" quotePrefix="1" applyNumberFormat="1" applyFont="1" applyFill="1" applyBorder="1" applyAlignment="1" applyProtection="1">
      <alignment horizontal="center" vertical="center" wrapText="1"/>
    </xf>
    <xf numFmtId="164" fontId="4" fillId="0" borderId="23" xfId="0" applyNumberFormat="1" applyFont="1" applyBorder="1" applyAlignment="1" applyProtection="1">
      <alignment horizontal="center" vertical="center" wrapText="1"/>
    </xf>
    <xf numFmtId="164" fontId="4" fillId="0" borderId="33" xfId="0" applyNumberFormat="1" applyFont="1" applyBorder="1" applyAlignment="1" applyProtection="1">
      <alignment horizontal="center" vertical="center" wrapText="1"/>
    </xf>
    <xf numFmtId="164" fontId="4" fillId="0" borderId="34" xfId="0" applyNumberFormat="1" applyFont="1" applyBorder="1" applyAlignment="1" applyProtection="1">
      <alignment horizontal="center" vertical="center" wrapText="1"/>
    </xf>
    <xf numFmtId="164" fontId="4" fillId="0" borderId="27" xfId="0" applyNumberFormat="1" applyFont="1" applyBorder="1" applyAlignment="1" applyProtection="1">
      <alignment horizontal="center" vertical="center" wrapText="1"/>
    </xf>
    <xf numFmtId="17" fontId="0" fillId="0" borderId="0" xfId="0" applyNumberFormat="1" applyBorder="1" applyAlignment="1" applyProtection="1">
      <alignment horizontal="center"/>
    </xf>
    <xf numFmtId="14" fontId="7" fillId="2" borderId="0" xfId="0" applyNumberFormat="1" applyFont="1" applyFill="1" applyBorder="1" applyAlignment="1" applyProtection="1">
      <alignment horizontal="left"/>
    </xf>
    <xf numFmtId="1" fontId="8" fillId="6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Border="1" applyProtection="1"/>
    <xf numFmtId="164" fontId="1" fillId="0" borderId="0" xfId="0" applyNumberFormat="1" applyFont="1" applyAlignment="1" applyProtection="1">
      <alignment horizontal="right"/>
    </xf>
    <xf numFmtId="164" fontId="0" fillId="0" borderId="0" xfId="0" applyNumberFormat="1" applyBorder="1" applyAlignment="1" applyProtection="1"/>
    <xf numFmtId="164" fontId="1" fillId="0" borderId="0" xfId="0" applyNumberFormat="1" applyFont="1" applyAlignment="1" applyProtection="1"/>
    <xf numFmtId="164" fontId="1" fillId="0" borderId="0" xfId="0" applyNumberFormat="1" applyFont="1" applyBorder="1" applyAlignment="1" applyProtection="1">
      <alignment horizontal="right"/>
    </xf>
    <xf numFmtId="164" fontId="0" fillId="0" borderId="19" xfId="0" applyNumberFormat="1" applyBorder="1" applyAlignment="1" applyProtection="1">
      <alignment horizontal="right"/>
    </xf>
    <xf numFmtId="14" fontId="0" fillId="0" borderId="0" xfId="0" quotePrefix="1" applyNumberFormat="1" applyBorder="1" applyAlignment="1" applyProtection="1">
      <alignment horizontal="left"/>
    </xf>
    <xf numFmtId="164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1" fontId="8" fillId="6" borderId="8" xfId="0" applyNumberFormat="1" applyFont="1" applyFill="1" applyBorder="1" applyAlignment="1" applyProtection="1">
      <alignment horizontal="center"/>
    </xf>
    <xf numFmtId="164" fontId="6" fillId="0" borderId="8" xfId="0" applyNumberFormat="1" applyFont="1" applyBorder="1" applyProtection="1"/>
    <xf numFmtId="164" fontId="1" fillId="0" borderId="8" xfId="0" applyNumberFormat="1" applyFont="1" applyBorder="1" applyAlignment="1" applyProtection="1">
      <alignment horizontal="right"/>
    </xf>
    <xf numFmtId="164" fontId="0" fillId="0" borderId="8" xfId="0" applyNumberFormat="1" applyFill="1" applyBorder="1" applyAlignment="1" applyProtection="1"/>
    <xf numFmtId="164" fontId="1" fillId="0" borderId="8" xfId="0" applyNumberFormat="1" applyFont="1" applyFill="1" applyBorder="1" applyAlignment="1" applyProtection="1"/>
    <xf numFmtId="17" fontId="0" fillId="0" borderId="35" xfId="0" applyNumberFormat="1" applyBorder="1" applyAlignment="1" applyProtection="1">
      <alignment horizontal="center"/>
    </xf>
    <xf numFmtId="14" fontId="1" fillId="0" borderId="35" xfId="0" applyNumberFormat="1" applyFont="1" applyFill="1" applyBorder="1" applyProtection="1"/>
    <xf numFmtId="14" fontId="7" fillId="2" borderId="35" xfId="0" applyNumberFormat="1" applyFont="1" applyFill="1" applyBorder="1" applyAlignment="1" applyProtection="1">
      <alignment horizontal="left"/>
    </xf>
    <xf numFmtId="0" fontId="0" fillId="0" borderId="35" xfId="0" applyBorder="1" applyAlignment="1" applyProtection="1">
      <alignment horizontal="center"/>
    </xf>
    <xf numFmtId="14" fontId="1" fillId="0" borderId="0" xfId="0" applyNumberFormat="1" applyFont="1" applyFill="1" applyBorder="1" applyProtection="1"/>
    <xf numFmtId="0" fontId="0" fillId="0" borderId="35" xfId="0" applyBorder="1" applyProtection="1"/>
    <xf numFmtId="17" fontId="0" fillId="0" borderId="8" xfId="0" applyNumberFormat="1" applyBorder="1" applyAlignment="1" applyProtection="1">
      <alignment horizontal="center"/>
    </xf>
    <xf numFmtId="0" fontId="0" fillId="0" borderId="8" xfId="0" quotePrefix="1" applyBorder="1" applyAlignment="1" applyProtection="1">
      <alignment horizontal="left"/>
    </xf>
    <xf numFmtId="0" fontId="0" fillId="0" borderId="8" xfId="0" applyBorder="1" applyProtection="1"/>
    <xf numFmtId="14" fontId="1" fillId="0" borderId="8" xfId="0" applyNumberFormat="1" applyFont="1" applyFill="1" applyBorder="1" applyProtection="1"/>
    <xf numFmtId="14" fontId="0" fillId="0" borderId="8" xfId="0" quotePrefix="1" applyNumberFormat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" fillId="0" borderId="8" xfId="0" applyFont="1" applyFill="1" applyBorder="1" applyAlignment="1" applyProtection="1">
      <alignment horizontal="left"/>
    </xf>
    <xf numFmtId="1" fontId="0" fillId="0" borderId="0" xfId="0" applyNumberFormat="1" applyAlignment="1" applyProtection="1">
      <alignment horizontal="center"/>
    </xf>
    <xf numFmtId="164" fontId="0" fillId="0" borderId="19" xfId="0" applyNumberForma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46" xfId="0" applyBorder="1" applyProtection="1"/>
    <xf numFmtId="0" fontId="0" fillId="0" borderId="47" xfId="0" applyBorder="1" applyProtection="1"/>
    <xf numFmtId="0" fontId="0" fillId="0" borderId="0" xfId="0" quotePrefix="1" applyBorder="1" applyAlignment="1" applyProtection="1">
      <alignment horizontal="center"/>
    </xf>
    <xf numFmtId="166" fontId="0" fillId="0" borderId="0" xfId="0" applyNumberFormat="1" applyFill="1" applyBorder="1" applyProtection="1"/>
    <xf numFmtId="167" fontId="7" fillId="6" borderId="25" xfId="0" applyNumberFormat="1" applyFont="1" applyFill="1" applyBorder="1" applyAlignment="1" applyProtection="1">
      <alignment horizontal="center"/>
    </xf>
    <xf numFmtId="164" fontId="0" fillId="0" borderId="27" xfId="0" applyNumberFormat="1" applyBorder="1" applyAlignment="1" applyProtection="1">
      <alignment horizontal="right"/>
    </xf>
    <xf numFmtId="164" fontId="4" fillId="0" borderId="14" xfId="0" quotePrefix="1" applyNumberFormat="1" applyFont="1" applyFill="1" applyBorder="1" applyAlignment="1" applyProtection="1">
      <alignment horizontal="center" wrapText="1"/>
    </xf>
    <xf numFmtId="14" fontId="7" fillId="6" borderId="0" xfId="3" applyNumberFormat="1" applyFont="1" applyFill="1"/>
    <xf numFmtId="14" fontId="7" fillId="2" borderId="8" xfId="3" applyNumberFormat="1" applyFont="1" applyFill="1" applyBorder="1"/>
    <xf numFmtId="14" fontId="7" fillId="6" borderId="8" xfId="3" applyNumberFormat="1" applyFont="1" applyFill="1" applyBorder="1"/>
    <xf numFmtId="164" fontId="5" fillId="0" borderId="0" xfId="0" applyNumberFormat="1" applyFont="1" applyFill="1" applyBorder="1" applyAlignment="1" applyProtection="1">
      <alignment horizontal="center"/>
    </xf>
    <xf numFmtId="10" fontId="24" fillId="0" borderId="0" xfId="4" quotePrefix="1" applyNumberFormat="1" applyFont="1" applyFill="1" applyBorder="1" applyAlignment="1" applyProtection="1">
      <alignment horizontal="left"/>
    </xf>
    <xf numFmtId="164" fontId="4" fillId="0" borderId="23" xfId="0" quotePrefix="1" applyNumberFormat="1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left" vertical="center"/>
    </xf>
    <xf numFmtId="0" fontId="4" fillId="0" borderId="23" xfId="0" quotePrefix="1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1" fillId="0" borderId="0" xfId="5"/>
    <xf numFmtId="37" fontId="0" fillId="0" borderId="0" xfId="6" applyNumberFormat="1" applyFont="1"/>
    <xf numFmtId="37" fontId="1" fillId="0" borderId="0" xfId="5" applyNumberFormat="1"/>
    <xf numFmtId="0" fontId="1" fillId="0" borderId="48" xfId="5" applyBorder="1"/>
    <xf numFmtId="168" fontId="0" fillId="0" borderId="0" xfId="7" applyNumberFormat="1" applyFont="1" applyBorder="1" applyAlignment="1" applyProtection="1">
      <alignment horizontal="left"/>
    </xf>
    <xf numFmtId="0" fontId="1" fillId="0" borderId="49" xfId="5" quotePrefix="1" applyBorder="1" applyAlignment="1">
      <alignment horizontal="left"/>
    </xf>
    <xf numFmtId="168" fontId="0" fillId="0" borderId="0" xfId="7" quotePrefix="1" applyNumberFormat="1" applyFont="1" applyBorder="1" applyAlignment="1" applyProtection="1">
      <alignment horizontal="left"/>
    </xf>
    <xf numFmtId="0" fontId="1" fillId="0" borderId="49" xfId="5" applyBorder="1"/>
    <xf numFmtId="0" fontId="1" fillId="0" borderId="50" xfId="5" applyBorder="1"/>
    <xf numFmtId="0" fontId="9" fillId="3" borderId="51" xfId="5" quotePrefix="1" applyFont="1" applyFill="1" applyBorder="1" applyAlignment="1">
      <alignment horizontal="left" vertical="center" wrapText="1"/>
    </xf>
    <xf numFmtId="168" fontId="9" fillId="3" borderId="0" xfId="7" quotePrefix="1" applyNumberFormat="1" applyFont="1" applyFill="1" applyBorder="1" applyAlignment="1" applyProtection="1">
      <alignment horizontal="left" vertical="center" wrapText="1"/>
    </xf>
    <xf numFmtId="37" fontId="9" fillId="3" borderId="0" xfId="7" quotePrefix="1" applyNumberFormat="1" applyFont="1" applyFill="1" applyBorder="1" applyAlignment="1" applyProtection="1">
      <alignment vertical="center" wrapText="1"/>
    </xf>
    <xf numFmtId="0" fontId="1" fillId="0" borderId="52" xfId="5" quotePrefix="1" applyBorder="1" applyAlignment="1">
      <alignment horizontal="left"/>
    </xf>
    <xf numFmtId="0" fontId="9" fillId="3" borderId="23" xfId="5" quotePrefix="1" applyFont="1" applyFill="1" applyBorder="1" applyAlignment="1">
      <alignment horizontal="left" vertical="center" wrapText="1"/>
    </xf>
    <xf numFmtId="37" fontId="9" fillId="3" borderId="23" xfId="5" quotePrefix="1" applyNumberFormat="1" applyFont="1" applyFill="1" applyBorder="1" applyAlignment="1">
      <alignment vertical="center" wrapText="1"/>
    </xf>
    <xf numFmtId="0" fontId="9" fillId="0" borderId="53" xfId="5" quotePrefix="1" applyFont="1" applyBorder="1" applyAlignment="1">
      <alignment horizontal="center" vertical="center" wrapText="1"/>
    </xf>
    <xf numFmtId="0" fontId="9" fillId="0" borderId="0" xfId="5" quotePrefix="1" applyFont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67" fontId="0" fillId="0" borderId="0" xfId="0" applyNumberFormat="1" applyBorder="1" applyAlignment="1" applyProtection="1">
      <alignment horizontal="center"/>
    </xf>
    <xf numFmtId="167" fontId="0" fillId="0" borderId="0" xfId="4" applyNumberFormat="1" applyFont="1" applyAlignment="1" applyProtection="1">
      <alignment horizontal="center"/>
    </xf>
    <xf numFmtId="166" fontId="25" fillId="0" borderId="41" xfId="0" applyNumberFormat="1" applyFont="1" applyBorder="1" applyProtection="1"/>
    <xf numFmtId="166" fontId="25" fillId="0" borderId="0" xfId="0" applyNumberFormat="1" applyFont="1" applyProtection="1"/>
    <xf numFmtId="166" fontId="25" fillId="0" borderId="42" xfId="0" applyNumberFormat="1" applyFont="1" applyBorder="1" applyProtection="1"/>
    <xf numFmtId="166" fontId="25" fillId="0" borderId="36" xfId="0" applyNumberFormat="1" applyFont="1" applyBorder="1" applyProtection="1"/>
    <xf numFmtId="166" fontId="25" fillId="0" borderId="39" xfId="0" applyNumberFormat="1" applyFont="1" applyBorder="1" applyProtection="1"/>
    <xf numFmtId="166" fontId="25" fillId="0" borderId="40" xfId="0" applyNumberFormat="1" applyFont="1" applyBorder="1" applyProtection="1"/>
    <xf numFmtId="0" fontId="3" fillId="0" borderId="0" xfId="0" quotePrefix="1" applyFont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</cellXfs>
  <cellStyles count="8">
    <cellStyle name="Comma" xfId="1" builtinId="3"/>
    <cellStyle name="Comma 2" xfId="6" xr:uid="{CF4DD474-9A96-4F40-B60A-3971D2CE1B4F}"/>
    <cellStyle name="Currency" xfId="2" builtinId="4"/>
    <cellStyle name="Normal" xfId="0" builtinId="0"/>
    <cellStyle name="Normal 2" xfId="3" xr:uid="{00000000-0005-0000-0000-000003000000}"/>
    <cellStyle name="Normal 3" xfId="5" xr:uid="{2EF22019-B740-4038-A124-4D553B5A5E39}"/>
    <cellStyle name="Percent" xfId="4" builtinId="5"/>
    <cellStyle name="Percent 2" xfId="7" xr:uid="{ED17F1C2-6DC5-4040-8EF0-B8E356045EFA}"/>
  </cellStyles>
  <dxfs count="171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protection locked="0"/>
    </dxf>
    <dxf>
      <numFmt numFmtId="166" formatCode="_(* #,##0_);_(* \(#,##0\);_(* &quot;-&quot;??_);_(@_)"/>
    </dxf>
    <dxf>
      <numFmt numFmtId="35" formatCode="_(* #,##0.00_);_(* \(#,##0.00\);_(* &quot;-&quot;??_);_(@_)"/>
    </dxf>
    <dxf>
      <numFmt numFmtId="2" formatCode="0.00"/>
    </dxf>
    <dxf>
      <numFmt numFmtId="2" formatCode="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  <numFmt numFmtId="164" formatCode="&quot;$&quot;#,##0.00"/>
    </dxf>
    <dxf>
      <font>
        <name val="Arial Narrow"/>
        <scheme val="none"/>
      </font>
    </dxf>
    <dxf>
      <numFmt numFmtId="164" formatCode="&quot;$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175747" refreshedDate="45436.33596527778" createdVersion="6" refreshedVersion="8" recordCount="192" xr:uid="{00000000-000A-0000-FFFF-FFFFE6000000}">
  <cacheSource type="worksheet">
    <worksheetSource ref="B19:R211" sheet="Transactions"/>
  </cacheSource>
  <cacheFields count="17">
    <cacheField name="Serivce Month" numFmtId="17">
      <sharedItems containsSemiMixedTypes="0" containsNonDate="0" containsDate="1" containsString="0" minDate="2010-01-01T00:00:00" maxDate="2023-12-02T00:00:00" count="168"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2-01-01T00:00:00" u="1"/>
        <d v="2022-02-01T00:00:00" u="1"/>
        <d v="2022-03-01T00:00:00" u="1"/>
        <d v="2022-04-01T00:00:00" u="1"/>
        <d v="2022-05-01T00:00:00" u="1"/>
        <d v="2022-06-01T00:00:00" u="1"/>
        <d v="2022-07-01T00:00:00" u="1"/>
        <d v="2022-08-01T00:00:00" u="1"/>
        <d v="2022-09-01T00:00:00" u="1"/>
        <d v="2022-10-01T00:00:00" u="1"/>
        <d v="2022-11-01T00:00:00" u="1"/>
        <d v="2022-12-01T00:00:00" u="1"/>
        <d v="2013-05-01T00:00:00" u="1"/>
        <d v="2014-05-01T00:00:00" u="1"/>
        <d v="2015-05-01T00:00:00" u="1"/>
        <d v="2016-05-01T00:00:00" u="1"/>
        <d v="2017-05-01T00:00:00" u="1"/>
        <d v="2018-05-01T00:00:00" u="1"/>
        <d v="2019-05-01T00:00:00" u="1"/>
        <d v="2020-05-01T00:00:00" u="1"/>
        <d v="2010-11-01T00:00:00" u="1"/>
        <d v="2021-05-01T00:00:00" u="1"/>
        <d v="2011-11-01T00:00:00" u="1"/>
        <d v="2012-11-01T00:00:00" u="1"/>
        <d v="2013-11-01T00:00:00" u="1"/>
        <d v="2014-11-01T00:00:00" u="1"/>
        <d v="2015-11-01T00:00:00" u="1"/>
        <d v="2016-11-01T00:00:00" u="1"/>
        <d v="2017-11-01T00:00:00" u="1"/>
        <d v="2018-11-01T00:00:00" u="1"/>
        <d v="2019-11-01T00:00:00" u="1"/>
        <d v="2020-11-01T00:00:00" u="1"/>
        <d v="2021-11-01T00:00:00" u="1"/>
        <d v="2010-06-01T00:00:00" u="1"/>
        <d v="2011-06-01T00:00:00" u="1"/>
        <d v="2012-06-01T00:00:00" u="1"/>
        <d v="2013-06-01T00:00:00" u="1"/>
        <d v="2014-06-01T00:00:00" u="1"/>
        <d v="2015-06-01T00:00:00" u="1"/>
        <d v="2016-06-01T00:00:00" u="1"/>
        <d v="2017-06-01T00:00:00" u="1"/>
        <d v="2018-06-01T00:00:00" u="1"/>
        <d v="2019-06-01T00:00:00" u="1"/>
        <d v="2020-06-01T00:00:00" u="1"/>
        <d v="2010-12-01T00:00:00" u="1"/>
        <d v="2021-06-01T00:00:00" u="1"/>
        <d v="2011-12-01T00:00:00" u="1"/>
        <d v="2012-12-01T00:00:00" u="1"/>
        <d v="2013-12-01T00:00:00" u="1"/>
        <d v="2014-12-01T00:00:00" u="1"/>
        <d v="2015-12-01T00:00:00" u="1"/>
        <d v="2016-12-01T00:00:00" u="1"/>
        <d v="2017-12-01T00:00:00" u="1"/>
        <d v="2018-12-01T00:00:00" u="1"/>
        <d v="2019-12-01T00:00:00" u="1"/>
        <d v="2020-12-01T00:00:00" u="1"/>
        <d v="2021-12-01T00:00:00" u="1"/>
        <d v="2010-01-01T00:00:00" u="1"/>
        <d v="2011-01-01T00:00:00" u="1"/>
        <d v="2012-01-01T00:00:00" u="1"/>
        <d v="2013-01-01T00:00:00" u="1"/>
        <d v="2014-01-01T00:00:00" u="1"/>
        <d v="2015-01-01T00:00:00" u="1"/>
        <d v="2016-01-01T00:00:00" u="1"/>
        <d v="2017-01-01T00:00:00" u="1"/>
        <d v="2018-01-01T00:00:00" u="1"/>
        <d v="2019-01-01T00:00:00" u="1"/>
        <d v="2020-01-01T00:00:00" u="1"/>
        <d v="2010-07-01T00:00:00" u="1"/>
        <d v="2021-01-01T00:00:00" u="1"/>
        <d v="2011-07-01T00:00:00" u="1"/>
        <d v="2012-07-01T00:00:00" u="1"/>
        <d v="2013-07-01T00:00:00" u="1"/>
        <d v="2014-07-01T00:00:00" u="1"/>
        <d v="2015-07-01T00:00:00" u="1"/>
        <d v="2016-07-01T00:00:00" u="1"/>
        <d v="2017-07-01T00:00:00" u="1"/>
        <d v="2018-07-01T00:00:00" u="1"/>
        <d v="2019-07-01T00:00:00" u="1"/>
        <d v="2020-07-01T00:00:00" u="1"/>
        <d v="2021-07-01T00:00:00" u="1"/>
        <d v="2010-02-01T00:00:00" u="1"/>
        <d v="2011-02-01T00:00:00" u="1"/>
        <d v="2012-02-01T00:00:00" u="1"/>
        <d v="2013-02-01T00:00:00" u="1"/>
        <d v="2014-02-01T00:00:00" u="1"/>
        <d v="2015-02-01T00:00:00" u="1"/>
        <d v="2016-02-01T00:00:00" u="1"/>
        <d v="2017-02-01T00:00:00" u="1"/>
        <d v="2018-02-01T00:00:00" u="1"/>
        <d v="2019-02-01T00:00:00" u="1"/>
        <d v="2020-02-01T00:00:00" u="1"/>
        <d v="2010-08-01T00:00:00" u="1"/>
        <d v="2021-02-01T00:00:00" u="1"/>
        <d v="2011-08-01T00:00:00" u="1"/>
        <d v="2012-08-01T00:00:00" u="1"/>
        <d v="2013-08-01T00:00:00" u="1"/>
        <d v="2014-08-01T00:00:00" u="1"/>
        <d v="2015-08-01T00:00:00" u="1"/>
        <d v="2016-08-01T00:00:00" u="1"/>
        <d v="2017-08-01T00:00:00" u="1"/>
        <d v="2018-08-01T00:00:00" u="1"/>
        <d v="2019-08-01T00:00:00" u="1"/>
        <d v="2020-08-01T00:00:00" u="1"/>
        <d v="2021-08-01T00:00:00" u="1"/>
        <d v="2010-03-01T00:00:00" u="1"/>
        <d v="2011-03-01T00:00:00" u="1"/>
        <d v="2012-03-01T00:00:00" u="1"/>
        <d v="2013-03-01T00:00:00" u="1"/>
        <d v="2014-03-01T00:00:00" u="1"/>
        <d v="2015-03-01T00:00:00" u="1"/>
        <d v="2016-03-01T00:00:00" u="1"/>
        <d v="2017-03-01T00:00:00" u="1"/>
        <d v="2018-03-01T00:00:00" u="1"/>
        <d v="2019-03-01T00:00:00" u="1"/>
        <d v="2020-03-01T00:00:00" u="1"/>
        <d v="2010-09-01T00:00:00" u="1"/>
        <d v="2021-03-01T00:00:00" u="1"/>
        <d v="2011-09-01T00:00:00" u="1"/>
        <d v="2012-09-01T00:00:00" u="1"/>
        <d v="2013-09-01T00:00:00" u="1"/>
        <d v="2014-09-01T00:00:00" u="1"/>
        <d v="2015-09-01T00:00:00" u="1"/>
        <d v="2016-09-01T00:00:00" u="1"/>
        <d v="2017-09-01T00:00:00" u="1"/>
        <d v="2018-09-01T00:00:00" u="1"/>
        <d v="2019-09-01T00:00:00" u="1"/>
        <d v="2020-09-01T00:00:00" u="1"/>
        <d v="2021-09-01T00:00:00" u="1"/>
        <d v="2010-04-01T00:00:00" u="1"/>
        <d v="2011-04-01T00:00:00" u="1"/>
        <d v="2012-04-01T00:00:00" u="1"/>
        <d v="2013-04-01T00:00:00" u="1"/>
        <d v="2014-04-01T00:00:00" u="1"/>
        <d v="2015-04-01T00:00:00" u="1"/>
        <d v="2016-04-01T00:00:00" u="1"/>
        <d v="2017-04-01T00:00:00" u="1"/>
        <d v="2018-04-01T00:00:00" u="1"/>
        <d v="2019-04-01T00:00:00" u="1"/>
        <d v="2020-04-01T00:00:00" u="1"/>
        <d v="2010-10-01T00:00:00" u="1"/>
        <d v="2021-04-01T00:00:00" u="1"/>
        <d v="2011-10-01T00:00:00" u="1"/>
        <d v="2012-10-01T00:00:00" u="1"/>
        <d v="2013-10-01T00:00:00" u="1"/>
        <d v="2014-10-01T00:00:00" u="1"/>
        <d v="2015-10-01T00:00:00" u="1"/>
        <d v="2016-10-01T00:00:00" u="1"/>
        <d v="2017-10-01T00:00:00" u="1"/>
        <d v="2018-10-01T00:00:00" u="1"/>
        <d v="2019-10-01T00:00:00" u="1"/>
        <d v="2020-10-01T00:00:00" u="1"/>
        <d v="2021-10-01T00:00:00" u="1"/>
        <d v="2010-05-01T00:00:00" u="1"/>
        <d v="2011-05-01T00:00:00" u="1"/>
        <d v="2012-05-01T00:00:00" u="1"/>
      </sharedItems>
    </cacheField>
    <cacheField name="Billing_x000a_Date*" numFmtId="14">
      <sharedItems containsSemiMixedTypes="0" containsNonDate="0" containsDate="1" containsString="0" minDate="2023-02-03T00:00:00" maxDate="2024-01-04T00:00:00"/>
    </cacheField>
    <cacheField name="Payment Received*" numFmtId="14">
      <sharedItems containsSemiMixedTypes="0" containsNonDate="0" containsDate="1" containsString="0" minDate="2023-02-24T00:00:00" maxDate="2024-01-25T00:00:00"/>
    </cacheField>
    <cacheField name="Customer" numFmtId="0">
      <sharedItems count="22">
        <s v="PSO"/>
        <s v="SWEPCO"/>
        <s v="SWEPCO-Valley"/>
        <s v="AECC"/>
        <s v="AECI"/>
        <s v="WFEC"/>
        <s v="OMPA"/>
        <s v="OG&amp;E"/>
        <s v="ETEC"/>
        <s v="Greenbelt"/>
        <s v="Lighthouse"/>
        <s v="Bentonville, AR"/>
        <s v="Prescott, AR"/>
        <s v="Minden, LA"/>
        <s v="Hope, AR"/>
        <s v="Coffeyville, KS"/>
        <s v="Bentonville" u="1"/>
        <s v="Hope" u="1"/>
        <s v="NTEC" u="1"/>
        <s v="TEXLA" u="1"/>
        <s v="Prescott" u="1"/>
        <s v="Minden" u="1"/>
      </sharedItems>
    </cacheField>
    <cacheField name="Sched." numFmtId="0">
      <sharedItems containsSemiMixedTypes="0" containsString="0" containsNumber="1" containsInteger="1" minValue="9" maxValue="9"/>
    </cacheField>
    <cacheField name="MW" numFmtId="1">
      <sharedItems containsSemiMixedTypes="0" containsString="0" containsNumber="1" containsInteger="1" minValue="1" maxValue="4265"/>
    </cacheField>
    <cacheField name="Projected Rate (as Invoiced)" numFmtId="164">
      <sharedItems containsSemiMixedTypes="0" containsString="0" containsNumber="1" minValue="970.91" maxValue="970.91"/>
    </cacheField>
    <cacheField name="Actual True-Up Rate" numFmtId="164">
      <sharedItems containsSemiMixedTypes="0" containsString="0" containsNumber="1" minValue="919.96" maxValue="919.96"/>
    </cacheField>
    <cacheField name="True-Up Charge" numFmtId="164">
      <sharedItems containsSemiMixedTypes="0" containsString="0" containsNumber="1" minValue="919.96" maxValue="3923629.4000000004"/>
    </cacheField>
    <cacheField name="Invoiced*** Charge (proj.)" numFmtId="164">
      <sharedItems containsSemiMixedTypes="0" containsString="0" containsNumber="1" minValue="970.91" maxValue="4140931.15"/>
    </cacheField>
    <cacheField name="True-Up w/o Interest" numFmtId="164">
      <sharedItems containsSemiMixedTypes="0" containsString="0" containsNumber="1" minValue="-217301.74999999953" maxValue="-50.949999999999932"/>
    </cacheField>
    <cacheField name="Interest" numFmtId="164">
      <sharedItems containsSemiMixedTypes="0" containsString="0" containsNumber="1" minValue="-17810.09637301532" maxValue="-4.1758725376354793"/>
    </cacheField>
    <cacheField name="2023 True Up Including Interest" numFmtId="164">
      <sharedItems containsSemiMixedTypes="0" containsString="0" containsNumber="1" minValue="-235111.84637301485" maxValue="-55.125872537635409"/>
    </cacheField>
    <cacheField name="Tax Rebilling Rate" numFmtId="164">
      <sharedItems containsSemiMixedTypes="0" containsString="0" containsNumber="1" containsInteger="1" minValue="0" maxValue="0"/>
    </cacheField>
    <cacheField name="Tax True Up Billing" numFmtId="164">
      <sharedItems containsSemiMixedTypes="0" containsString="0" containsNumber="1" containsInteger="1" minValue="0" maxValue="0"/>
    </cacheField>
    <cacheField name="Tax True Up" numFmtId="164">
      <sharedItems containsSemiMixedTypes="0" containsString="0" containsNumber="1" containsInteger="1" minValue="0" maxValue="0"/>
    </cacheField>
    <cacheField name="Total True-up" numFmtId="164">
      <sharedItems containsSemiMixedTypes="0" containsString="0" containsNumber="1" minValue="-235111.84637301485" maxValue="-55.12587253763540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2">
  <r>
    <x v="0"/>
    <d v="2023-02-03T00:00:00"/>
    <d v="2023-02-24T00:00:00"/>
    <x v="0"/>
    <n v="9"/>
    <n v="2810"/>
    <n v="970.91"/>
    <n v="919.96"/>
    <n v="2585087.6"/>
    <n v="2728257.1"/>
    <n v="-143169.5"/>
    <n v="-11734.201830755697"/>
    <n v="-154903.70183075569"/>
    <n v="0"/>
    <n v="0"/>
    <n v="0"/>
    <n v="-154903.70183075569"/>
  </r>
  <r>
    <x v="1"/>
    <d v="2023-03-03T00:00:00"/>
    <d v="2023-03-24T00:00:00"/>
    <x v="0"/>
    <n v="9"/>
    <n v="2771"/>
    <n v="970.91"/>
    <n v="919.96"/>
    <n v="2549209.16"/>
    <n v="2690391.61"/>
    <n v="-141182.44999999972"/>
    <n v="-11571.342801787914"/>
    <n v="-152753.79280178764"/>
    <n v="0"/>
    <n v="0"/>
    <n v="0"/>
    <n v="-152753.79280178764"/>
  </r>
  <r>
    <x v="2"/>
    <d v="2023-04-05T00:00:00"/>
    <d v="2023-04-24T00:00:00"/>
    <x v="0"/>
    <n v="9"/>
    <n v="2389"/>
    <n v="970.91"/>
    <n v="919.96"/>
    <n v="2197784.44"/>
    <n v="2319503.9899999998"/>
    <n v="-121719.54999999981"/>
    <n v="-9976.1594924111614"/>
    <n v="-131695.70949241097"/>
    <n v="0"/>
    <n v="0"/>
    <n v="0"/>
    <n v="-131695.70949241097"/>
  </r>
  <r>
    <x v="3"/>
    <d v="2023-05-03T00:00:00"/>
    <d v="2023-05-24T00:00:00"/>
    <x v="0"/>
    <n v="9"/>
    <n v="2392"/>
    <n v="970.91"/>
    <n v="919.96"/>
    <n v="2200544.3200000003"/>
    <n v="2322416.7199999997"/>
    <n v="-121872.39999999944"/>
    <n v="-9988.6871100240678"/>
    <n v="-131861.08711002351"/>
    <n v="0"/>
    <n v="0"/>
    <n v="0"/>
    <n v="-131861.08711002351"/>
  </r>
  <r>
    <x v="4"/>
    <d v="2023-06-05T00:00:00"/>
    <d v="2023-06-26T00:00:00"/>
    <x v="0"/>
    <n v="9"/>
    <n v="3231"/>
    <n v="970.91"/>
    <n v="919.96"/>
    <n v="2972390.7600000002"/>
    <n v="3137010.21"/>
    <n v="-164619.44999999972"/>
    <n v="-13492.244169100233"/>
    <n v="-178111.69416909997"/>
    <n v="0"/>
    <n v="0"/>
    <n v="0"/>
    <n v="-178111.69416909997"/>
  </r>
  <r>
    <x v="5"/>
    <d v="2023-07-05T00:00:00"/>
    <d v="2023-07-24T00:00:00"/>
    <x v="0"/>
    <n v="9"/>
    <n v="4100"/>
    <n v="970.91"/>
    <n v="919.96"/>
    <n v="3771836"/>
    <n v="3980731"/>
    <n v="-208895"/>
    <n v="-17121.077404305466"/>
    <n v="-226016.07740430546"/>
    <n v="0"/>
    <n v="0"/>
    <n v="0"/>
    <n v="-226016.07740430546"/>
  </r>
  <r>
    <x v="6"/>
    <d v="2023-08-03T00:00:00"/>
    <d v="2023-08-24T00:00:00"/>
    <x v="0"/>
    <n v="9"/>
    <n v="3988"/>
    <n v="970.91"/>
    <n v="919.96"/>
    <n v="3668800.48"/>
    <n v="3871989.08"/>
    <n v="-203188.60000000009"/>
    <n v="-16653.379680090293"/>
    <n v="-219841.97968009039"/>
    <n v="0"/>
    <n v="0"/>
    <n v="0"/>
    <n v="-219841.97968009039"/>
  </r>
  <r>
    <x v="7"/>
    <d v="2023-09-05T00:00:00"/>
    <d v="2023-09-25T00:00:00"/>
    <x v="0"/>
    <n v="9"/>
    <n v="4265"/>
    <n v="970.91"/>
    <n v="919.96"/>
    <n v="3923629.4000000004"/>
    <n v="4140931.15"/>
    <n v="-217301.74999999953"/>
    <n v="-17810.09637301532"/>
    <n v="-235111.84637301485"/>
    <n v="0"/>
    <n v="0"/>
    <n v="0"/>
    <n v="-235111.84637301485"/>
  </r>
  <r>
    <x v="8"/>
    <d v="2023-10-04T00:00:00"/>
    <d v="2023-10-24T00:00:00"/>
    <x v="0"/>
    <n v="9"/>
    <n v="4016"/>
    <n v="970.91"/>
    <n v="919.96"/>
    <n v="3694559.3600000003"/>
    <n v="3899174.56"/>
    <n v="-204615.19999999972"/>
    <n v="-16770.304111144087"/>
    <n v="-221385.50411114382"/>
    <n v="0"/>
    <n v="0"/>
    <n v="0"/>
    <n v="-221385.50411114382"/>
  </r>
  <r>
    <x v="9"/>
    <d v="2023-11-03T00:00:00"/>
    <d v="2023-11-24T00:00:00"/>
    <x v="0"/>
    <n v="9"/>
    <n v="3105"/>
    <n v="970.91"/>
    <n v="919.96"/>
    <n v="2856475.8000000003"/>
    <n v="3014675.55"/>
    <n v="-158199.74999999953"/>
    <n v="-12966.084229358165"/>
    <n v="-171165.83422935769"/>
    <n v="0"/>
    <n v="0"/>
    <n v="0"/>
    <n v="-171165.83422935769"/>
  </r>
  <r>
    <x v="10"/>
    <d v="2023-12-05T00:00:00"/>
    <d v="2023-12-25T00:00:00"/>
    <x v="0"/>
    <n v="9"/>
    <n v="2513"/>
    <n v="970.91"/>
    <n v="919.96"/>
    <n v="2311859.48"/>
    <n v="2439896.83"/>
    <n v="-128037.35000000009"/>
    <n v="-10493.96768707796"/>
    <n v="-138531.31768707806"/>
    <n v="0"/>
    <n v="0"/>
    <n v="0"/>
    <n v="-138531.31768707806"/>
  </r>
  <r>
    <x v="11"/>
    <d v="2024-01-03T00:00:00"/>
    <d v="2024-01-24T00:00:00"/>
    <x v="0"/>
    <n v="9"/>
    <n v="2474"/>
    <n v="970.91"/>
    <n v="919.96"/>
    <n v="2275981.04"/>
    <n v="2402031.34"/>
    <n v="-126050.29999999981"/>
    <n v="-10331.108658110177"/>
    <n v="-136381.40865810998"/>
    <n v="0"/>
    <n v="0"/>
    <n v="0"/>
    <n v="-136381.40865810998"/>
  </r>
  <r>
    <x v="0"/>
    <d v="2023-02-03T00:00:00"/>
    <d v="2023-02-24T00:00:00"/>
    <x v="1"/>
    <n v="9"/>
    <n v="2724"/>
    <n v="970.91"/>
    <n v="919.96"/>
    <n v="2505971.04"/>
    <n v="2644758.84"/>
    <n v="-138787.79999999981"/>
    <n v="-11375.076792519047"/>
    <n v="-150162.87679251886"/>
    <n v="0"/>
    <n v="0"/>
    <n v="0"/>
    <n v="-150162.87679251886"/>
  </r>
  <r>
    <x v="1"/>
    <d v="2023-03-03T00:00:00"/>
    <d v="2023-03-24T00:00:00"/>
    <x v="1"/>
    <n v="9"/>
    <n v="2757"/>
    <n v="970.91"/>
    <n v="919.96"/>
    <n v="2536329.7200000002"/>
    <n v="2676798.87"/>
    <n v="-140469.14999999991"/>
    <n v="-11512.880586261017"/>
    <n v="-151982.03058626092"/>
    <n v="0"/>
    <n v="0"/>
    <n v="0"/>
    <n v="-151982.03058626092"/>
  </r>
  <r>
    <x v="2"/>
    <d v="2023-04-05T00:00:00"/>
    <d v="2023-04-24T00:00:00"/>
    <x v="1"/>
    <n v="9"/>
    <n v="2641"/>
    <n v="970.91"/>
    <n v="919.96"/>
    <n v="2429614.36"/>
    <n v="2564173.31"/>
    <n v="-134558.95000000019"/>
    <n v="-11028.479371895302"/>
    <n v="-145587.4293718955"/>
    <n v="0"/>
    <n v="0"/>
    <n v="0"/>
    <n v="-145587.4293718955"/>
  </r>
  <r>
    <x v="3"/>
    <d v="2023-05-03T00:00:00"/>
    <d v="2023-05-24T00:00:00"/>
    <x v="1"/>
    <n v="9"/>
    <n v="2417"/>
    <n v="970.91"/>
    <n v="919.96"/>
    <n v="2223543.3200000003"/>
    <n v="2346689.4699999997"/>
    <n v="-123146.14999999944"/>
    <n v="-10093.083923464954"/>
    <n v="-133239.2339234644"/>
    <n v="0"/>
    <n v="0"/>
    <n v="0"/>
    <n v="-133239.2339234644"/>
  </r>
  <r>
    <x v="4"/>
    <d v="2023-06-05T00:00:00"/>
    <d v="2023-06-26T00:00:00"/>
    <x v="1"/>
    <n v="9"/>
    <n v="2844"/>
    <n v="970.91"/>
    <n v="919.96"/>
    <n v="2616366.2400000002"/>
    <n v="2761268.04"/>
    <n v="-144901.79999999981"/>
    <n v="-11876.181497035304"/>
    <n v="-156777.98149703513"/>
    <n v="0"/>
    <n v="0"/>
    <n v="0"/>
    <n v="-156777.98149703513"/>
  </r>
  <r>
    <x v="5"/>
    <d v="2023-07-05T00:00:00"/>
    <d v="2023-07-24T00:00:00"/>
    <x v="1"/>
    <n v="9"/>
    <n v="3500"/>
    <n v="970.91"/>
    <n v="919.96"/>
    <n v="3219860"/>
    <n v="3398185"/>
    <n v="-178325"/>
    <n v="-14615.553881724178"/>
    <n v="-192940.55388172419"/>
    <n v="0"/>
    <n v="0"/>
    <n v="0"/>
    <n v="-192940.55388172419"/>
  </r>
  <r>
    <x v="6"/>
    <d v="2023-08-03T00:00:00"/>
    <d v="2023-08-24T00:00:00"/>
    <x v="1"/>
    <n v="9"/>
    <n v="3569"/>
    <n v="970.91"/>
    <n v="919.96"/>
    <n v="3283337.24"/>
    <n v="3465177.79"/>
    <n v="-181840.54999999981"/>
    <n v="-14903.689086821027"/>
    <n v="-196744.23908682083"/>
    <n v="0"/>
    <n v="0"/>
    <n v="0"/>
    <n v="-196744.23908682083"/>
  </r>
  <r>
    <x v="7"/>
    <d v="2023-09-05T00:00:00"/>
    <d v="2023-09-25T00:00:00"/>
    <x v="1"/>
    <n v="9"/>
    <n v="3766"/>
    <n v="970.91"/>
    <n v="919.96"/>
    <n v="3464569.3600000003"/>
    <n v="3656447.06"/>
    <n v="-191877.69999999972"/>
    <n v="-15726.335976735216"/>
    <n v="-207604.03597673494"/>
    <n v="0"/>
    <n v="0"/>
    <n v="0"/>
    <n v="-207604.03597673494"/>
  </r>
  <r>
    <x v="8"/>
    <d v="2023-10-04T00:00:00"/>
    <d v="2023-10-24T00:00:00"/>
    <x v="1"/>
    <n v="9"/>
    <n v="3456"/>
    <n v="970.91"/>
    <n v="919.96"/>
    <n v="3179381.7600000002"/>
    <n v="3355464.96"/>
    <n v="-176083.19999999972"/>
    <n v="-14431.815490068218"/>
    <n v="-190515.01549006795"/>
    <n v="0"/>
    <n v="0"/>
    <n v="0"/>
    <n v="-190515.01549006795"/>
  </r>
  <r>
    <x v="9"/>
    <d v="2023-11-03T00:00:00"/>
    <d v="2023-11-24T00:00:00"/>
    <x v="1"/>
    <n v="9"/>
    <n v="2810"/>
    <n v="970.91"/>
    <n v="919.96"/>
    <n v="2585087.6"/>
    <n v="2728257.1"/>
    <n v="-143169.5"/>
    <n v="-11734.201830755697"/>
    <n v="-154903.70183075569"/>
    <n v="0"/>
    <n v="0"/>
    <n v="0"/>
    <n v="-154903.70183075569"/>
  </r>
  <r>
    <x v="10"/>
    <d v="2023-12-05T00:00:00"/>
    <d v="2023-12-25T00:00:00"/>
    <x v="1"/>
    <n v="9"/>
    <n v="2499"/>
    <n v="970.91"/>
    <n v="919.96"/>
    <n v="2298980.04"/>
    <n v="2426304.09"/>
    <n v="-127324.04999999981"/>
    <n v="-10435.505471551063"/>
    <n v="-137759.55547155088"/>
    <n v="0"/>
    <n v="0"/>
    <n v="0"/>
    <n v="-137759.55547155088"/>
  </r>
  <r>
    <x v="11"/>
    <d v="2024-01-03T00:00:00"/>
    <d v="2024-01-24T00:00:00"/>
    <x v="1"/>
    <n v="9"/>
    <n v="2532"/>
    <n v="970.91"/>
    <n v="919.96"/>
    <n v="2329338.7200000002"/>
    <n v="2458344.12"/>
    <n v="-129005.39999999991"/>
    <n v="-10573.309265293034"/>
    <n v="-139578.70926529294"/>
    <n v="0"/>
    <n v="0"/>
    <n v="0"/>
    <n v="-139578.70926529294"/>
  </r>
  <r>
    <x v="0"/>
    <d v="2023-02-03T00:00:00"/>
    <d v="2023-02-24T00:00:00"/>
    <x v="2"/>
    <n v="9"/>
    <n v="137"/>
    <n v="970.91"/>
    <n v="919.96"/>
    <n v="126034.52"/>
    <n v="133014.66999999998"/>
    <n v="-6980.1499999999796"/>
    <n v="-572.09453765606065"/>
    <n v="-7552.2445376560399"/>
    <n v="0"/>
    <n v="0"/>
    <n v="0"/>
    <n v="-7552.2445376560399"/>
  </r>
  <r>
    <x v="1"/>
    <d v="2023-03-03T00:00:00"/>
    <d v="2023-03-24T00:00:00"/>
    <x v="2"/>
    <n v="9"/>
    <n v="132"/>
    <n v="970.91"/>
    <n v="919.96"/>
    <n v="121434.72"/>
    <n v="128160.12"/>
    <n v="-6725.3999999999942"/>
    <n v="-551.21517496788329"/>
    <n v="-7276.6151749678775"/>
    <n v="0"/>
    <n v="0"/>
    <n v="0"/>
    <n v="-7276.6151749678775"/>
  </r>
  <r>
    <x v="2"/>
    <d v="2023-04-05T00:00:00"/>
    <d v="2023-04-24T00:00:00"/>
    <x v="2"/>
    <n v="9"/>
    <n v="148"/>
    <n v="970.91"/>
    <n v="919.96"/>
    <n v="136154.08000000002"/>
    <n v="143694.68"/>
    <n v="-7540.5999999999767"/>
    <n v="-618.02913557005093"/>
    <n v="-8158.6291355700278"/>
    <n v="0"/>
    <n v="0"/>
    <n v="0"/>
    <n v="-8158.6291355700278"/>
  </r>
  <r>
    <x v="3"/>
    <d v="2023-05-03T00:00:00"/>
    <d v="2023-05-24T00:00:00"/>
    <x v="2"/>
    <n v="9"/>
    <n v="92"/>
    <n v="970.91"/>
    <n v="919.96"/>
    <n v="84636.32"/>
    <n v="89323.72"/>
    <n v="-4687.3999999999942"/>
    <n v="-384.18027346246413"/>
    <n v="-5071.5802734624585"/>
    <n v="0"/>
    <n v="0"/>
    <n v="0"/>
    <n v="-5071.5802734624585"/>
  </r>
  <r>
    <x v="4"/>
    <d v="2023-06-05T00:00:00"/>
    <d v="2023-06-26T00:00:00"/>
    <x v="2"/>
    <n v="9"/>
    <n v="104"/>
    <n v="970.91"/>
    <n v="919.96"/>
    <n v="95675.839999999997"/>
    <n v="100974.64"/>
    <n v="-5298.8000000000029"/>
    <n v="-434.29074391408983"/>
    <n v="-5733.0907439140929"/>
    <n v="0"/>
    <n v="0"/>
    <n v="0"/>
    <n v="-5733.0907439140929"/>
  </r>
  <r>
    <x v="5"/>
    <d v="2023-07-05T00:00:00"/>
    <d v="2023-07-24T00:00:00"/>
    <x v="2"/>
    <n v="9"/>
    <n v="156"/>
    <n v="970.91"/>
    <n v="919.96"/>
    <n v="143513.76"/>
    <n v="151461.96"/>
    <n v="-7948.1999999999825"/>
    <n v="-651.4361158711348"/>
    <n v="-8599.636115871117"/>
    <n v="0"/>
    <n v="0"/>
    <n v="0"/>
    <n v="-8599.636115871117"/>
  </r>
  <r>
    <x v="6"/>
    <d v="2023-08-03T00:00:00"/>
    <d v="2023-08-24T00:00:00"/>
    <x v="2"/>
    <n v="9"/>
    <n v="155"/>
    <n v="970.91"/>
    <n v="919.96"/>
    <n v="142593.80000000002"/>
    <n v="150491.04999999999"/>
    <n v="-7897.2499999999709"/>
    <n v="-647.26024333349926"/>
    <n v="-8544.5102433334705"/>
    <n v="0"/>
    <n v="0"/>
    <n v="0"/>
    <n v="-8544.5102433334705"/>
  </r>
  <r>
    <x v="7"/>
    <d v="2023-09-05T00:00:00"/>
    <d v="2023-09-25T00:00:00"/>
    <x v="2"/>
    <n v="9"/>
    <n v="159"/>
    <n v="970.91"/>
    <n v="919.96"/>
    <n v="146273.64000000001"/>
    <n v="154374.69"/>
    <n v="-8101.0499999999884"/>
    <n v="-663.9637334840412"/>
    <n v="-8765.0137334840292"/>
    <n v="0"/>
    <n v="0"/>
    <n v="0"/>
    <n v="-8765.0137334840292"/>
  </r>
  <r>
    <x v="8"/>
    <d v="2023-10-04T00:00:00"/>
    <d v="2023-10-24T00:00:00"/>
    <x v="2"/>
    <n v="9"/>
    <n v="144"/>
    <n v="970.91"/>
    <n v="919.96"/>
    <n v="132474.23999999999"/>
    <n v="139811.04"/>
    <n v="-7336.8000000000175"/>
    <n v="-601.32564541950899"/>
    <n v="-7938.1256454195263"/>
    <n v="0"/>
    <n v="0"/>
    <n v="0"/>
    <n v="-7938.1256454195263"/>
  </r>
  <r>
    <x v="9"/>
    <d v="2023-11-03T00:00:00"/>
    <d v="2023-11-24T00:00:00"/>
    <x v="2"/>
    <n v="9"/>
    <n v="117"/>
    <n v="970.91"/>
    <n v="919.96"/>
    <n v="107635.32"/>
    <n v="113596.47"/>
    <n v="-5961.1499999999942"/>
    <n v="-488.57708690335113"/>
    <n v="-6449.7270869033455"/>
    <n v="0"/>
    <n v="0"/>
    <n v="0"/>
    <n v="-6449.7270869033455"/>
  </r>
  <r>
    <x v="10"/>
    <d v="2023-12-05T00:00:00"/>
    <d v="2023-12-25T00:00:00"/>
    <x v="2"/>
    <n v="9"/>
    <n v="134"/>
    <n v="970.91"/>
    <n v="919.96"/>
    <n v="123274.64"/>
    <n v="130101.94"/>
    <n v="-6827.3000000000029"/>
    <n v="-559.56692004315425"/>
    <n v="-7386.8669200431568"/>
    <n v="0"/>
    <n v="0"/>
    <n v="0"/>
    <n v="-7386.8669200431568"/>
  </r>
  <r>
    <x v="11"/>
    <d v="2024-01-03T00:00:00"/>
    <d v="2024-01-24T00:00:00"/>
    <x v="2"/>
    <n v="9"/>
    <n v="145"/>
    <n v="970.91"/>
    <n v="919.96"/>
    <n v="133394.20000000001"/>
    <n v="140781.94999999998"/>
    <n v="-7387.7499999999709"/>
    <n v="-605.50151795714453"/>
    <n v="-7993.2515179571155"/>
    <n v="0"/>
    <n v="0"/>
    <n v="0"/>
    <n v="-7993.2515179571155"/>
  </r>
  <r>
    <x v="0"/>
    <d v="2023-02-03T00:00:00"/>
    <d v="2023-02-24T00:00:00"/>
    <x v="3"/>
    <n v="9"/>
    <n v="828"/>
    <n v="970.91"/>
    <n v="919.96"/>
    <n v="761726.88"/>
    <n v="803913.48"/>
    <n v="-42186.599999999977"/>
    <n v="-3457.6224611621774"/>
    <n v="-45644.222461162157"/>
    <n v="0"/>
    <n v="0"/>
    <n v="0"/>
    <n v="-45644.222461162157"/>
  </r>
  <r>
    <x v="1"/>
    <d v="2023-03-03T00:00:00"/>
    <d v="2023-03-24T00:00:00"/>
    <x v="3"/>
    <n v="9"/>
    <n v="786"/>
    <n v="970.91"/>
    <n v="919.96"/>
    <n v="723088.56"/>
    <n v="763135.26"/>
    <n v="-40046.699999999953"/>
    <n v="-3282.2358145814869"/>
    <n v="-43328.93581458144"/>
    <n v="0"/>
    <n v="0"/>
    <n v="0"/>
    <n v="-43328.93581458144"/>
  </r>
  <r>
    <x v="2"/>
    <d v="2023-04-05T00:00:00"/>
    <d v="2023-04-24T00:00:00"/>
    <x v="3"/>
    <n v="9"/>
    <n v="702"/>
    <n v="970.91"/>
    <n v="919.96"/>
    <n v="645811.92000000004"/>
    <n v="681578.82"/>
    <n v="-35766.899999999907"/>
    <n v="-2931.4625214201069"/>
    <n v="-38698.362521420015"/>
    <n v="0"/>
    <n v="0"/>
    <n v="0"/>
    <n v="-38698.362521420015"/>
  </r>
  <r>
    <x v="3"/>
    <d v="2023-05-03T00:00:00"/>
    <d v="2023-05-24T00:00:00"/>
    <x v="3"/>
    <n v="9"/>
    <n v="519"/>
    <n v="970.91"/>
    <n v="919.96"/>
    <n v="477459.24"/>
    <n v="503902.29"/>
    <n v="-26443.049999999988"/>
    <n v="-2167.277847032814"/>
    <n v="-28610.3278470328"/>
    <n v="0"/>
    <n v="0"/>
    <n v="0"/>
    <n v="-28610.3278470328"/>
  </r>
  <r>
    <x v="4"/>
    <d v="2023-06-05T00:00:00"/>
    <d v="2023-06-26T00:00:00"/>
    <x v="3"/>
    <n v="9"/>
    <n v="720"/>
    <n v="970.91"/>
    <n v="919.96"/>
    <n v="662371.20000000007"/>
    <n v="699055.2"/>
    <n v="-36683.999999999884"/>
    <n v="-3006.6282270975453"/>
    <n v="-39690.628227097426"/>
    <n v="0"/>
    <n v="0"/>
    <n v="0"/>
    <n v="-39690.628227097426"/>
  </r>
  <r>
    <x v="5"/>
    <d v="2023-07-05T00:00:00"/>
    <d v="2023-07-24T00:00:00"/>
    <x v="3"/>
    <n v="9"/>
    <n v="975"/>
    <n v="970.91"/>
    <n v="919.96"/>
    <n v="896961"/>
    <n v="946637.25"/>
    <n v="-49676.25"/>
    <n v="-4071.4757241945931"/>
    <n v="-53747.725724194592"/>
    <n v="0"/>
    <n v="0"/>
    <n v="0"/>
    <n v="-53747.725724194592"/>
  </r>
  <r>
    <x v="6"/>
    <d v="2023-08-03T00:00:00"/>
    <d v="2023-08-24T00:00:00"/>
    <x v="3"/>
    <n v="9"/>
    <n v="924"/>
    <n v="970.91"/>
    <n v="919.96"/>
    <n v="850043.04"/>
    <n v="897120.84"/>
    <n v="-47077.79999999993"/>
    <n v="-3858.506224775183"/>
    <n v="-50936.306224775115"/>
    <n v="0"/>
    <n v="0"/>
    <n v="0"/>
    <n v="-50936.306224775115"/>
  </r>
  <r>
    <x v="7"/>
    <d v="2023-09-05T00:00:00"/>
    <d v="2023-09-25T00:00:00"/>
    <x v="3"/>
    <n v="9"/>
    <n v="1053"/>
    <n v="970.91"/>
    <n v="919.96"/>
    <n v="968717.88"/>
    <n v="1022368.23"/>
    <n v="-53650.349999999977"/>
    <n v="-4397.1937821301599"/>
    <n v="-58047.543782130138"/>
    <n v="0"/>
    <n v="0"/>
    <n v="0"/>
    <n v="-58047.543782130138"/>
  </r>
  <r>
    <x v="8"/>
    <d v="2023-10-04T00:00:00"/>
    <d v="2023-10-24T00:00:00"/>
    <x v="3"/>
    <n v="9"/>
    <n v="905"/>
    <n v="970.91"/>
    <n v="919.96"/>
    <n v="832563.8"/>
    <n v="878673.54999999993"/>
    <n v="-46109.749999999884"/>
    <n v="-3779.1646465601088"/>
    <n v="-49888.914646559992"/>
    <n v="0"/>
    <n v="0"/>
    <n v="0"/>
    <n v="-49888.914646559992"/>
  </r>
  <r>
    <x v="9"/>
    <d v="2023-11-03T00:00:00"/>
    <d v="2023-11-24T00:00:00"/>
    <x v="3"/>
    <n v="9"/>
    <n v="694"/>
    <n v="970.91"/>
    <n v="919.96"/>
    <n v="638452.24"/>
    <n v="673811.53999999992"/>
    <n v="-35359.29999999993"/>
    <n v="-2898.055541119023"/>
    <n v="-38257.355541118952"/>
    <n v="0"/>
    <n v="0"/>
    <n v="0"/>
    <n v="-38257.355541118952"/>
  </r>
  <r>
    <x v="10"/>
    <d v="2023-12-05T00:00:00"/>
    <d v="2023-12-25T00:00:00"/>
    <x v="3"/>
    <n v="9"/>
    <n v="736"/>
    <n v="970.91"/>
    <n v="919.96"/>
    <n v="677090.56"/>
    <n v="714589.76"/>
    <n v="-37499.199999999953"/>
    <n v="-3073.442187699713"/>
    <n v="-40572.642187699668"/>
    <n v="0"/>
    <n v="0"/>
    <n v="0"/>
    <n v="-40572.642187699668"/>
  </r>
  <r>
    <x v="11"/>
    <d v="2024-01-03T00:00:00"/>
    <d v="2024-01-24T00:00:00"/>
    <x v="3"/>
    <n v="9"/>
    <n v="713"/>
    <n v="970.91"/>
    <n v="919.96"/>
    <n v="655931.48"/>
    <n v="692258.83"/>
    <n v="-36327.349999999977"/>
    <n v="-2977.3971193340967"/>
    <n v="-39304.747119334075"/>
    <n v="0"/>
    <n v="0"/>
    <n v="0"/>
    <n v="-39304.747119334075"/>
  </r>
  <r>
    <x v="0"/>
    <d v="2023-02-03T00:00:00"/>
    <d v="2023-02-24T00:00:00"/>
    <x v="4"/>
    <n v="9"/>
    <n v="44"/>
    <n v="970.91"/>
    <n v="919.96"/>
    <n v="40478.240000000005"/>
    <n v="42720.04"/>
    <n v="-2241.7999999999956"/>
    <n v="-183.73839165596112"/>
    <n v="-2425.5383916559567"/>
    <n v="0"/>
    <n v="0"/>
    <n v="0"/>
    <n v="-2425.5383916559567"/>
  </r>
  <r>
    <x v="1"/>
    <d v="2023-03-03T00:00:00"/>
    <d v="2023-03-24T00:00:00"/>
    <x v="4"/>
    <n v="9"/>
    <n v="42"/>
    <n v="970.91"/>
    <n v="919.96"/>
    <n v="38638.32"/>
    <n v="40778.22"/>
    <n v="-2139.9000000000015"/>
    <n v="-175.38664658069013"/>
    <n v="-2315.2866465806915"/>
    <n v="0"/>
    <n v="0"/>
    <n v="0"/>
    <n v="-2315.2866465806915"/>
  </r>
  <r>
    <x v="2"/>
    <d v="2023-04-05T00:00:00"/>
    <d v="2023-04-24T00:00:00"/>
    <x v="4"/>
    <n v="9"/>
    <n v="37"/>
    <n v="970.91"/>
    <n v="919.96"/>
    <n v="34038.520000000004"/>
    <n v="35923.67"/>
    <n v="-1885.1499999999942"/>
    <n v="-154.50728389251273"/>
    <n v="-2039.6572838925069"/>
    <n v="0"/>
    <n v="0"/>
    <n v="0"/>
    <n v="-2039.6572838925069"/>
  </r>
  <r>
    <x v="3"/>
    <d v="2023-05-03T00:00:00"/>
    <d v="2023-05-24T00:00:00"/>
    <x v="4"/>
    <n v="9"/>
    <n v="27"/>
    <n v="970.91"/>
    <n v="919.96"/>
    <n v="24838.920000000002"/>
    <n v="26214.57"/>
    <n v="-1375.6499999999978"/>
    <n v="-112.74855851615796"/>
    <n v="-1488.3985585161558"/>
    <n v="0"/>
    <n v="0"/>
    <n v="0"/>
    <n v="-1488.3985585161558"/>
  </r>
  <r>
    <x v="4"/>
    <d v="2023-06-05T00:00:00"/>
    <d v="2023-06-26T00:00:00"/>
    <x v="4"/>
    <n v="9"/>
    <n v="42"/>
    <n v="970.91"/>
    <n v="919.96"/>
    <n v="38638.32"/>
    <n v="40778.22"/>
    <n v="-2139.9000000000015"/>
    <n v="-175.38664658069013"/>
    <n v="-2315.2866465806915"/>
    <n v="0"/>
    <n v="0"/>
    <n v="0"/>
    <n v="-2315.2866465806915"/>
  </r>
  <r>
    <x v="5"/>
    <d v="2023-07-05T00:00:00"/>
    <d v="2023-07-24T00:00:00"/>
    <x v="4"/>
    <n v="9"/>
    <n v="56"/>
    <n v="970.91"/>
    <n v="919.96"/>
    <n v="51517.760000000002"/>
    <n v="54370.96"/>
    <n v="-2853.1999999999971"/>
    <n v="-233.84886210758685"/>
    <n v="-3087.0488621075838"/>
    <n v="0"/>
    <n v="0"/>
    <n v="0"/>
    <n v="-3087.0488621075838"/>
  </r>
  <r>
    <x v="6"/>
    <d v="2023-08-03T00:00:00"/>
    <d v="2023-08-24T00:00:00"/>
    <x v="4"/>
    <n v="9"/>
    <n v="54"/>
    <n v="970.91"/>
    <n v="919.96"/>
    <n v="49677.840000000004"/>
    <n v="52429.14"/>
    <n v="-2751.2999999999956"/>
    <n v="-225.49711703231591"/>
    <n v="-2976.7971170323117"/>
    <n v="0"/>
    <n v="0"/>
    <n v="0"/>
    <n v="-2976.7971170323117"/>
  </r>
  <r>
    <x v="7"/>
    <d v="2023-09-05T00:00:00"/>
    <d v="2023-09-25T00:00:00"/>
    <x v="4"/>
    <n v="9"/>
    <n v="59"/>
    <n v="970.91"/>
    <n v="919.96"/>
    <n v="54277.64"/>
    <n v="57283.689999999995"/>
    <n v="-3006.0499999999956"/>
    <n v="-246.37647972049328"/>
    <n v="-3252.4264797204887"/>
    <n v="0"/>
    <n v="0"/>
    <n v="0"/>
    <n v="-3252.4264797204887"/>
  </r>
  <r>
    <x v="8"/>
    <d v="2023-10-04T00:00:00"/>
    <d v="2023-10-24T00:00:00"/>
    <x v="4"/>
    <n v="9"/>
    <n v="54"/>
    <n v="970.91"/>
    <n v="919.96"/>
    <n v="49677.840000000004"/>
    <n v="52429.14"/>
    <n v="-2751.2999999999956"/>
    <n v="-225.49711703231591"/>
    <n v="-2976.7971170323117"/>
    <n v="0"/>
    <n v="0"/>
    <n v="0"/>
    <n v="-2976.7971170323117"/>
  </r>
  <r>
    <x v="9"/>
    <d v="2023-11-03T00:00:00"/>
    <d v="2023-11-24T00:00:00"/>
    <x v="4"/>
    <n v="9"/>
    <n v="37"/>
    <n v="970.91"/>
    <n v="919.96"/>
    <n v="34038.520000000004"/>
    <n v="35923.67"/>
    <n v="-1885.1499999999942"/>
    <n v="-154.50728389251273"/>
    <n v="-2039.6572838925069"/>
    <n v="0"/>
    <n v="0"/>
    <n v="0"/>
    <n v="-2039.6572838925069"/>
  </r>
  <r>
    <x v="10"/>
    <d v="2023-12-05T00:00:00"/>
    <d v="2023-12-25T00:00:00"/>
    <x v="4"/>
    <n v="9"/>
    <n v="38"/>
    <n v="970.91"/>
    <n v="919.96"/>
    <n v="34958.480000000003"/>
    <n v="36894.58"/>
    <n v="-1936.0999999999985"/>
    <n v="-158.68315643014824"/>
    <n v="-2094.7831564301468"/>
    <n v="0"/>
    <n v="0"/>
    <n v="0"/>
    <n v="-2094.7831564301468"/>
  </r>
  <r>
    <x v="11"/>
    <d v="2024-01-03T00:00:00"/>
    <d v="2024-01-24T00:00:00"/>
    <x v="4"/>
    <n v="9"/>
    <n v="35"/>
    <n v="970.91"/>
    <n v="919.96"/>
    <n v="32198.600000000002"/>
    <n v="33981.85"/>
    <n v="-1783.2499999999964"/>
    <n v="-146.15553881724179"/>
    <n v="-1929.4055388172383"/>
    <n v="0"/>
    <n v="0"/>
    <n v="0"/>
    <n v="-1929.4055388172383"/>
  </r>
  <r>
    <x v="0"/>
    <d v="2023-02-03T00:00:00"/>
    <d v="2023-02-24T00:00:00"/>
    <x v="5"/>
    <n v="9"/>
    <n v="53"/>
    <n v="970.91"/>
    <n v="919.96"/>
    <n v="48757.880000000005"/>
    <n v="51458.229999999996"/>
    <n v="-2700.3499999999913"/>
    <n v="-221.32124449468043"/>
    <n v="-2921.6712444946716"/>
    <n v="0"/>
    <n v="0"/>
    <n v="0"/>
    <n v="-2921.6712444946716"/>
  </r>
  <r>
    <x v="1"/>
    <d v="2023-03-03T00:00:00"/>
    <d v="2023-03-24T00:00:00"/>
    <x v="5"/>
    <n v="9"/>
    <n v="55"/>
    <n v="970.91"/>
    <n v="919.96"/>
    <n v="50597.8"/>
    <n v="53400.049999999996"/>
    <n v="-2802.2499999999927"/>
    <n v="-229.6729895699514"/>
    <n v="-3031.9229895699441"/>
    <n v="0"/>
    <n v="0"/>
    <n v="0"/>
    <n v="-3031.9229895699441"/>
  </r>
  <r>
    <x v="2"/>
    <d v="2023-04-05T00:00:00"/>
    <d v="2023-04-24T00:00:00"/>
    <x v="5"/>
    <n v="9"/>
    <n v="46"/>
    <n v="970.91"/>
    <n v="919.96"/>
    <n v="42318.16"/>
    <n v="44661.86"/>
    <n v="-2343.6999999999971"/>
    <n v="-192.09013673123206"/>
    <n v="-2535.7901367312293"/>
    <n v="0"/>
    <n v="0"/>
    <n v="0"/>
    <n v="-2535.7901367312293"/>
  </r>
  <r>
    <x v="3"/>
    <d v="2023-05-03T00:00:00"/>
    <d v="2023-05-24T00:00:00"/>
    <x v="5"/>
    <n v="9"/>
    <n v="33"/>
    <n v="970.91"/>
    <n v="919.96"/>
    <n v="30358.68"/>
    <n v="32040.03"/>
    <n v="-1681.3499999999985"/>
    <n v="-137.80379374197082"/>
    <n v="-1819.1537937419694"/>
    <n v="0"/>
    <n v="0"/>
    <n v="0"/>
    <n v="-1819.1537937419694"/>
  </r>
  <r>
    <x v="4"/>
    <d v="2023-06-05T00:00:00"/>
    <d v="2023-06-26T00:00:00"/>
    <x v="5"/>
    <n v="9"/>
    <n v="44"/>
    <n v="970.91"/>
    <n v="919.96"/>
    <n v="40478.240000000005"/>
    <n v="42720.04"/>
    <n v="-2241.7999999999956"/>
    <n v="-183.73839165596112"/>
    <n v="-2425.5383916559567"/>
    <n v="0"/>
    <n v="0"/>
    <n v="0"/>
    <n v="-2425.5383916559567"/>
  </r>
  <r>
    <x v="5"/>
    <d v="2023-07-05T00:00:00"/>
    <d v="2023-07-24T00:00:00"/>
    <x v="5"/>
    <n v="9"/>
    <n v="55"/>
    <n v="970.91"/>
    <n v="919.96"/>
    <n v="50597.8"/>
    <n v="53400.049999999996"/>
    <n v="-2802.2499999999927"/>
    <n v="-229.6729895699514"/>
    <n v="-3031.9229895699441"/>
    <n v="0"/>
    <n v="0"/>
    <n v="0"/>
    <n v="-3031.9229895699441"/>
  </r>
  <r>
    <x v="6"/>
    <d v="2023-08-03T00:00:00"/>
    <d v="2023-08-24T00:00:00"/>
    <x v="5"/>
    <n v="9"/>
    <n v="57"/>
    <n v="970.91"/>
    <n v="919.96"/>
    <n v="52437.72"/>
    <n v="55341.869999999995"/>
    <n v="-2904.1499999999942"/>
    <n v="-238.02473464522234"/>
    <n v="-3142.1747346452166"/>
    <n v="0"/>
    <n v="0"/>
    <n v="0"/>
    <n v="-3142.1747346452166"/>
  </r>
  <r>
    <x v="7"/>
    <d v="2023-09-05T00:00:00"/>
    <d v="2023-09-25T00:00:00"/>
    <x v="5"/>
    <n v="9"/>
    <n v="56"/>
    <n v="970.91"/>
    <n v="919.96"/>
    <n v="51517.760000000002"/>
    <n v="54370.96"/>
    <n v="-2853.1999999999971"/>
    <n v="-233.84886210758685"/>
    <n v="-3087.0488621075838"/>
    <n v="0"/>
    <n v="0"/>
    <n v="0"/>
    <n v="-3087.0488621075838"/>
  </r>
  <r>
    <x v="8"/>
    <d v="2023-10-04T00:00:00"/>
    <d v="2023-10-24T00:00:00"/>
    <x v="5"/>
    <n v="9"/>
    <n v="60"/>
    <n v="970.91"/>
    <n v="919.96"/>
    <n v="55197.600000000006"/>
    <n v="58254.6"/>
    <n v="-3056.9999999999927"/>
    <n v="-250.55235225812876"/>
    <n v="-3307.5523522581216"/>
    <n v="0"/>
    <n v="0"/>
    <n v="0"/>
    <n v="-3307.5523522581216"/>
  </r>
  <r>
    <x v="9"/>
    <d v="2023-11-03T00:00:00"/>
    <d v="2023-11-24T00:00:00"/>
    <x v="5"/>
    <n v="9"/>
    <n v="48"/>
    <n v="970.91"/>
    <n v="919.96"/>
    <n v="44158.080000000002"/>
    <n v="46603.68"/>
    <n v="-2445.5999999999985"/>
    <n v="-200.44188180650301"/>
    <n v="-2646.0418818065014"/>
    <n v="0"/>
    <n v="0"/>
    <n v="0"/>
    <n v="-2646.0418818065014"/>
  </r>
  <r>
    <x v="10"/>
    <d v="2023-12-05T00:00:00"/>
    <d v="2023-12-25T00:00:00"/>
    <x v="5"/>
    <n v="9"/>
    <n v="54"/>
    <n v="970.91"/>
    <n v="919.96"/>
    <n v="49677.840000000004"/>
    <n v="52429.14"/>
    <n v="-2751.2999999999956"/>
    <n v="-225.49711703231591"/>
    <n v="-2976.7971170323117"/>
    <n v="0"/>
    <n v="0"/>
    <n v="0"/>
    <n v="-2976.7971170323117"/>
  </r>
  <r>
    <x v="11"/>
    <d v="2024-01-03T00:00:00"/>
    <d v="2024-01-24T00:00:00"/>
    <x v="5"/>
    <n v="9"/>
    <n v="55"/>
    <n v="970.91"/>
    <n v="919.96"/>
    <n v="50597.8"/>
    <n v="53400.049999999996"/>
    <n v="-2802.2499999999927"/>
    <n v="-229.6729895699514"/>
    <n v="-3031.9229895699441"/>
    <n v="0"/>
    <n v="0"/>
    <n v="0"/>
    <n v="-3031.9229895699441"/>
  </r>
  <r>
    <x v="0"/>
    <d v="2023-02-03T00:00:00"/>
    <d v="2023-02-24T00:00:00"/>
    <x v="6"/>
    <n v="9"/>
    <n v="84"/>
    <n v="970.91"/>
    <n v="919.96"/>
    <n v="77276.639999999999"/>
    <n v="81556.44"/>
    <n v="-4279.8000000000029"/>
    <n v="-350.77329316138025"/>
    <n v="-4630.5732931613829"/>
    <n v="0"/>
    <n v="0"/>
    <n v="0"/>
    <n v="-4630.5732931613829"/>
  </r>
  <r>
    <x v="1"/>
    <d v="2023-03-03T00:00:00"/>
    <d v="2023-03-24T00:00:00"/>
    <x v="6"/>
    <n v="9"/>
    <n v="83"/>
    <n v="970.91"/>
    <n v="919.96"/>
    <n v="76356.680000000008"/>
    <n v="80585.53"/>
    <n v="-4228.8499999999913"/>
    <n v="-346.59742062374482"/>
    <n v="-4575.4474206237364"/>
    <n v="0"/>
    <n v="0"/>
    <n v="0"/>
    <n v="-4575.4474206237364"/>
  </r>
  <r>
    <x v="2"/>
    <d v="2023-04-05T00:00:00"/>
    <d v="2023-04-24T00:00:00"/>
    <x v="6"/>
    <n v="9"/>
    <n v="76"/>
    <n v="970.91"/>
    <n v="919.96"/>
    <n v="69916.960000000006"/>
    <n v="73789.16"/>
    <n v="-3872.1999999999971"/>
    <n v="-317.36631286029649"/>
    <n v="-4189.5663128602937"/>
    <n v="0"/>
    <n v="0"/>
    <n v="0"/>
    <n v="-4189.5663128602937"/>
  </r>
  <r>
    <x v="3"/>
    <d v="2023-05-03T00:00:00"/>
    <d v="2023-05-24T00:00:00"/>
    <x v="6"/>
    <n v="9"/>
    <n v="69"/>
    <n v="970.91"/>
    <n v="919.96"/>
    <n v="63477.240000000005"/>
    <n v="66992.789999999994"/>
    <n v="-3515.5499999999884"/>
    <n v="-288.1352050968481"/>
    <n v="-3803.6852050968364"/>
    <n v="0"/>
    <n v="0"/>
    <n v="0"/>
    <n v="-3803.6852050968364"/>
  </r>
  <r>
    <x v="4"/>
    <d v="2023-06-05T00:00:00"/>
    <d v="2023-06-26T00:00:00"/>
    <x v="6"/>
    <n v="9"/>
    <n v="99"/>
    <n v="970.91"/>
    <n v="919.96"/>
    <n v="91076.040000000008"/>
    <n v="96120.09"/>
    <n v="-5044.0499999999884"/>
    <n v="-413.41138122591252"/>
    <n v="-5457.4613812259013"/>
    <n v="0"/>
    <n v="0"/>
    <n v="0"/>
    <n v="-5457.4613812259013"/>
  </r>
  <r>
    <x v="5"/>
    <d v="2023-07-05T00:00:00"/>
    <d v="2023-07-24T00:00:00"/>
    <x v="6"/>
    <n v="9"/>
    <n v="149"/>
    <n v="970.91"/>
    <n v="919.96"/>
    <n v="137074.04"/>
    <n v="144665.59"/>
    <n v="-7591.5499999999884"/>
    <n v="-622.20500810768647"/>
    <n v="-8213.7550081076752"/>
    <n v="0"/>
    <n v="0"/>
    <n v="0"/>
    <n v="-8213.7550081076752"/>
  </r>
  <r>
    <x v="6"/>
    <d v="2023-08-03T00:00:00"/>
    <d v="2023-08-24T00:00:00"/>
    <x v="6"/>
    <n v="9"/>
    <n v="148"/>
    <n v="970.91"/>
    <n v="919.96"/>
    <n v="136154.08000000002"/>
    <n v="143694.68"/>
    <n v="-7540.5999999999767"/>
    <n v="-618.02913557005093"/>
    <n v="-8158.6291355700278"/>
    <n v="0"/>
    <n v="0"/>
    <n v="0"/>
    <n v="-8158.6291355700278"/>
  </r>
  <r>
    <x v="7"/>
    <d v="2023-09-05T00:00:00"/>
    <d v="2023-09-25T00:00:00"/>
    <x v="6"/>
    <n v="9"/>
    <n v="160"/>
    <n v="970.91"/>
    <n v="919.96"/>
    <n v="147193.60000000001"/>
    <n v="155345.60000000001"/>
    <n v="-8152"/>
    <n v="-668.13960602167674"/>
    <n v="-8820.1396060216775"/>
    <n v="0"/>
    <n v="0"/>
    <n v="0"/>
    <n v="-8820.1396060216775"/>
  </r>
  <r>
    <x v="8"/>
    <d v="2023-10-04T00:00:00"/>
    <d v="2023-10-24T00:00:00"/>
    <x v="6"/>
    <n v="9"/>
    <n v="155"/>
    <n v="970.91"/>
    <n v="919.96"/>
    <n v="142593.80000000002"/>
    <n v="150491.04999999999"/>
    <n v="-7897.2499999999709"/>
    <n v="-647.26024333349926"/>
    <n v="-8544.5102433334705"/>
    <n v="0"/>
    <n v="0"/>
    <n v="0"/>
    <n v="-8544.5102433334705"/>
  </r>
  <r>
    <x v="9"/>
    <d v="2023-11-03T00:00:00"/>
    <d v="2023-11-24T00:00:00"/>
    <x v="6"/>
    <n v="9"/>
    <n v="110"/>
    <n v="970.91"/>
    <n v="919.96"/>
    <n v="101195.6"/>
    <n v="106800.09999999999"/>
    <n v="-5604.4999999999854"/>
    <n v="-459.34597913990279"/>
    <n v="-6063.8459791398882"/>
    <n v="0"/>
    <n v="0"/>
    <n v="0"/>
    <n v="-6063.8459791398882"/>
  </r>
  <r>
    <x v="10"/>
    <d v="2023-12-05T00:00:00"/>
    <d v="2023-12-25T00:00:00"/>
    <x v="6"/>
    <n v="9"/>
    <n v="70"/>
    <n v="970.91"/>
    <n v="919.96"/>
    <n v="64397.200000000004"/>
    <n v="67963.7"/>
    <n v="-3566.4999999999927"/>
    <n v="-292.31107763448358"/>
    <n v="-3858.8110776344765"/>
    <n v="0"/>
    <n v="0"/>
    <n v="0"/>
    <n v="-3858.8110776344765"/>
  </r>
  <r>
    <x v="11"/>
    <d v="2024-01-03T00:00:00"/>
    <d v="2024-01-24T00:00:00"/>
    <x v="6"/>
    <n v="9"/>
    <n v="66"/>
    <n v="970.91"/>
    <n v="919.96"/>
    <n v="60717.36"/>
    <n v="64080.06"/>
    <n v="-3362.6999999999971"/>
    <n v="-275.60758748394164"/>
    <n v="-3638.3075874839387"/>
    <n v="0"/>
    <n v="0"/>
    <n v="0"/>
    <n v="-3638.3075874839387"/>
  </r>
  <r>
    <x v="0"/>
    <d v="2023-02-03T00:00:00"/>
    <d v="2023-02-24T00:00:00"/>
    <x v="7"/>
    <n v="9"/>
    <n v="63"/>
    <n v="970.91"/>
    <n v="919.96"/>
    <n v="57957.48"/>
    <n v="61167.329999999994"/>
    <n v="-3209.8499999999913"/>
    <n v="-263.07996987103519"/>
    <n v="-3472.9299698710265"/>
    <n v="0"/>
    <n v="0"/>
    <n v="0"/>
    <n v="-3472.9299698710265"/>
  </r>
  <r>
    <x v="1"/>
    <d v="2023-03-03T00:00:00"/>
    <d v="2023-03-24T00:00:00"/>
    <x v="7"/>
    <n v="9"/>
    <n v="63"/>
    <n v="970.91"/>
    <n v="919.96"/>
    <n v="57957.48"/>
    <n v="61167.329999999994"/>
    <n v="-3209.8499999999913"/>
    <n v="-263.07996987103519"/>
    <n v="-3472.9299698710265"/>
    <n v="0"/>
    <n v="0"/>
    <n v="0"/>
    <n v="-3472.9299698710265"/>
  </r>
  <r>
    <x v="2"/>
    <d v="2023-04-05T00:00:00"/>
    <d v="2023-04-24T00:00:00"/>
    <x v="7"/>
    <n v="9"/>
    <n v="67"/>
    <n v="970.91"/>
    <n v="919.96"/>
    <n v="61637.32"/>
    <n v="65050.97"/>
    <n v="-3413.6500000000015"/>
    <n v="-279.78346002157713"/>
    <n v="-3693.4334600215784"/>
    <n v="0"/>
    <n v="0"/>
    <n v="0"/>
    <n v="-3693.4334600215784"/>
  </r>
  <r>
    <x v="3"/>
    <d v="2023-05-03T00:00:00"/>
    <d v="2023-05-24T00:00:00"/>
    <x v="7"/>
    <n v="9"/>
    <n v="62"/>
    <n v="970.91"/>
    <n v="919.96"/>
    <n v="57037.520000000004"/>
    <n v="60196.42"/>
    <n v="-3158.8999999999942"/>
    <n v="-258.9040973333997"/>
    <n v="-3417.8040973333937"/>
    <n v="0"/>
    <n v="0"/>
    <n v="0"/>
    <n v="-3417.8040973333937"/>
  </r>
  <r>
    <x v="4"/>
    <d v="2023-06-05T00:00:00"/>
    <d v="2023-06-26T00:00:00"/>
    <x v="7"/>
    <n v="9"/>
    <n v="51"/>
    <n v="970.91"/>
    <n v="919.96"/>
    <n v="46917.96"/>
    <n v="49516.409999999996"/>
    <n v="-2598.4499999999971"/>
    <n v="-212.96949941940943"/>
    <n v="-2811.4194994194067"/>
    <n v="0"/>
    <n v="0"/>
    <n v="0"/>
    <n v="-2811.4194994194067"/>
  </r>
  <r>
    <x v="5"/>
    <d v="2023-07-05T00:00:00"/>
    <d v="2023-07-24T00:00:00"/>
    <x v="7"/>
    <n v="9"/>
    <n v="67"/>
    <n v="970.91"/>
    <n v="919.96"/>
    <n v="61637.32"/>
    <n v="65050.97"/>
    <n v="-3413.6500000000015"/>
    <n v="-279.78346002157713"/>
    <n v="-3693.4334600215784"/>
    <n v="0"/>
    <n v="0"/>
    <n v="0"/>
    <n v="-3693.4334600215784"/>
  </r>
  <r>
    <x v="6"/>
    <d v="2023-08-03T00:00:00"/>
    <d v="2023-08-24T00:00:00"/>
    <x v="7"/>
    <n v="9"/>
    <n v="66"/>
    <n v="970.91"/>
    <n v="919.96"/>
    <n v="60717.36"/>
    <n v="64080.06"/>
    <n v="-3362.6999999999971"/>
    <n v="-275.60758748394164"/>
    <n v="-3638.3075874839387"/>
    <n v="0"/>
    <n v="0"/>
    <n v="0"/>
    <n v="-3638.3075874839387"/>
  </r>
  <r>
    <x v="7"/>
    <d v="2023-09-05T00:00:00"/>
    <d v="2023-09-25T00:00:00"/>
    <x v="7"/>
    <n v="9"/>
    <n v="61"/>
    <n v="970.91"/>
    <n v="919.96"/>
    <n v="56117.560000000005"/>
    <n v="59225.509999999995"/>
    <n v="-3107.9499999999898"/>
    <n v="-254.72822479576425"/>
    <n v="-3362.678224795754"/>
    <n v="0"/>
    <n v="0"/>
    <n v="0"/>
    <n v="-3362.678224795754"/>
  </r>
  <r>
    <x v="8"/>
    <d v="2023-10-04T00:00:00"/>
    <d v="2023-10-24T00:00:00"/>
    <x v="7"/>
    <n v="9"/>
    <n v="55"/>
    <n v="970.91"/>
    <n v="919.96"/>
    <n v="50597.8"/>
    <n v="53400.049999999996"/>
    <n v="-2802.2499999999927"/>
    <n v="-229.6729895699514"/>
    <n v="-3031.9229895699441"/>
    <n v="0"/>
    <n v="0"/>
    <n v="0"/>
    <n v="-3031.9229895699441"/>
  </r>
  <r>
    <x v="9"/>
    <d v="2023-11-03T00:00:00"/>
    <d v="2023-11-24T00:00:00"/>
    <x v="7"/>
    <n v="9"/>
    <n v="59"/>
    <n v="970.91"/>
    <n v="919.96"/>
    <n v="54277.64"/>
    <n v="57283.689999999995"/>
    <n v="-3006.0499999999956"/>
    <n v="-246.37647972049328"/>
    <n v="-3252.4264797204887"/>
    <n v="0"/>
    <n v="0"/>
    <n v="0"/>
    <n v="-3252.4264797204887"/>
  </r>
  <r>
    <x v="10"/>
    <d v="2023-12-05T00:00:00"/>
    <d v="2023-12-25T00:00:00"/>
    <x v="7"/>
    <n v="9"/>
    <n v="63"/>
    <n v="970.91"/>
    <n v="919.96"/>
    <n v="57957.48"/>
    <n v="61167.329999999994"/>
    <n v="-3209.8499999999913"/>
    <n v="-263.07996987103519"/>
    <n v="-3472.9299698710265"/>
    <n v="0"/>
    <n v="0"/>
    <n v="0"/>
    <n v="-3472.9299698710265"/>
  </r>
  <r>
    <x v="11"/>
    <d v="2024-01-03T00:00:00"/>
    <d v="2024-01-24T00:00:00"/>
    <x v="7"/>
    <n v="9"/>
    <n v="63"/>
    <n v="970.91"/>
    <n v="919.96"/>
    <n v="57957.48"/>
    <n v="61167.329999999994"/>
    <n v="-3209.8499999999913"/>
    <n v="-263.07996987103519"/>
    <n v="-3472.9299698710265"/>
    <n v="0"/>
    <n v="0"/>
    <n v="0"/>
    <n v="-3472.9299698710265"/>
  </r>
  <r>
    <x v="0"/>
    <d v="2023-02-03T00:00:00"/>
    <d v="2023-02-24T00:00:00"/>
    <x v="8"/>
    <n v="9"/>
    <n v="967"/>
    <n v="970.91"/>
    <n v="919.96"/>
    <n v="889601.32000000007"/>
    <n v="938869.97"/>
    <n v="-49268.649999999907"/>
    <n v="-4038.0687438935088"/>
    <n v="-53306.718743893412"/>
    <n v="0"/>
    <n v="0"/>
    <n v="0"/>
    <n v="-53306.718743893412"/>
  </r>
  <r>
    <x v="1"/>
    <d v="2023-03-03T00:00:00"/>
    <d v="2023-03-24T00:00:00"/>
    <x v="8"/>
    <n v="9"/>
    <n v="955"/>
    <n v="970.91"/>
    <n v="919.96"/>
    <n v="878561.8"/>
    <n v="927219.04999999993"/>
    <n v="-48657.249999999884"/>
    <n v="-3987.9582734418832"/>
    <n v="-52645.208273441764"/>
    <n v="0"/>
    <n v="0"/>
    <n v="0"/>
    <n v="-52645.208273441764"/>
  </r>
  <r>
    <x v="2"/>
    <d v="2023-04-05T00:00:00"/>
    <d v="2023-04-24T00:00:00"/>
    <x v="8"/>
    <n v="9"/>
    <n v="872"/>
    <n v="970.91"/>
    <n v="919.96"/>
    <n v="802205.12"/>
    <n v="846633.52"/>
    <n v="-44428.400000000023"/>
    <n v="-3641.360852818138"/>
    <n v="-48069.760852818159"/>
    <n v="0"/>
    <n v="0"/>
    <n v="0"/>
    <n v="-48069.760852818159"/>
  </r>
  <r>
    <x v="3"/>
    <d v="2023-05-03T00:00:00"/>
    <d v="2023-05-24T00:00:00"/>
    <x v="8"/>
    <n v="9"/>
    <n v="602"/>
    <n v="970.91"/>
    <n v="919.96"/>
    <n v="553815.92000000004"/>
    <n v="584487.81999999995"/>
    <n v="-30671.899999999907"/>
    <n v="-2513.8752676565587"/>
    <n v="-33185.775267656463"/>
    <n v="0"/>
    <n v="0"/>
    <n v="0"/>
    <n v="-33185.775267656463"/>
  </r>
  <r>
    <x v="4"/>
    <d v="2023-06-05T00:00:00"/>
    <d v="2023-06-26T00:00:00"/>
    <x v="8"/>
    <n v="9"/>
    <n v="711"/>
    <n v="970.91"/>
    <n v="919.96"/>
    <n v="654091.56000000006"/>
    <n v="690317.01"/>
    <n v="-36225.449999999953"/>
    <n v="-2969.0453742588261"/>
    <n v="-39194.495374258782"/>
    <n v="0"/>
    <n v="0"/>
    <n v="0"/>
    <n v="-39194.495374258782"/>
  </r>
  <r>
    <x v="5"/>
    <d v="2023-07-05T00:00:00"/>
    <d v="2023-07-24T00:00:00"/>
    <x v="8"/>
    <n v="9"/>
    <n v="936"/>
    <n v="970.91"/>
    <n v="919.96"/>
    <n v="861082.56"/>
    <n v="908771.76"/>
    <n v="-47689.199999999953"/>
    <n v="-3908.616695226809"/>
    <n v="-51597.816695226764"/>
    <n v="0"/>
    <n v="0"/>
    <n v="0"/>
    <n v="-51597.816695226764"/>
  </r>
  <r>
    <x v="6"/>
    <d v="2023-08-03T00:00:00"/>
    <d v="2023-08-24T00:00:00"/>
    <x v="8"/>
    <n v="9"/>
    <n v="932"/>
    <n v="970.91"/>
    <n v="919.96"/>
    <n v="857402.72000000009"/>
    <n v="904888.12"/>
    <n v="-47485.399999999907"/>
    <n v="-3891.9132050762673"/>
    <n v="-51377.313205076178"/>
    <n v="0"/>
    <n v="0"/>
    <n v="0"/>
    <n v="-51377.313205076178"/>
  </r>
  <r>
    <x v="7"/>
    <d v="2023-09-05T00:00:00"/>
    <d v="2023-09-25T00:00:00"/>
    <x v="8"/>
    <n v="9"/>
    <n v="1025"/>
    <n v="970.91"/>
    <n v="919.96"/>
    <n v="942959"/>
    <n v="995182.75"/>
    <n v="-52223.75"/>
    <n v="-4280.2693510763665"/>
    <n v="-56504.019351076364"/>
    <n v="0"/>
    <n v="0"/>
    <n v="0"/>
    <n v="-56504.019351076364"/>
  </r>
  <r>
    <x v="8"/>
    <d v="2023-10-04T00:00:00"/>
    <d v="2023-10-24T00:00:00"/>
    <x v="8"/>
    <n v="9"/>
    <n v="934"/>
    <n v="970.91"/>
    <n v="919.96"/>
    <n v="859242.64"/>
    <n v="906829.94"/>
    <n v="-47587.29999999993"/>
    <n v="-3900.264950151538"/>
    <n v="-51487.564950151471"/>
    <n v="0"/>
    <n v="0"/>
    <n v="0"/>
    <n v="-51487.564950151471"/>
  </r>
  <r>
    <x v="9"/>
    <d v="2023-11-03T00:00:00"/>
    <d v="2023-11-24T00:00:00"/>
    <x v="8"/>
    <n v="9"/>
    <n v="700"/>
    <n v="970.91"/>
    <n v="919.96"/>
    <n v="643972"/>
    <n v="679637"/>
    <n v="-35665"/>
    <n v="-2923.1107763448358"/>
    <n v="-38588.110776344838"/>
    <n v="0"/>
    <n v="0"/>
    <n v="0"/>
    <n v="-38588.110776344838"/>
  </r>
  <r>
    <x v="10"/>
    <d v="2023-12-05T00:00:00"/>
    <d v="2023-12-25T00:00:00"/>
    <x v="8"/>
    <n v="9"/>
    <n v="867"/>
    <n v="970.91"/>
    <n v="919.96"/>
    <n v="797605.32000000007"/>
    <n v="841778.97"/>
    <n v="-44173.649999999907"/>
    <n v="-3620.481490129961"/>
    <n v="-47794.131490129868"/>
    <n v="0"/>
    <n v="0"/>
    <n v="0"/>
    <n v="-47794.131490129868"/>
  </r>
  <r>
    <x v="11"/>
    <d v="2024-01-03T00:00:00"/>
    <d v="2024-01-24T00:00:00"/>
    <x v="8"/>
    <n v="9"/>
    <n v="916"/>
    <n v="970.91"/>
    <n v="919.96"/>
    <n v="842683.36"/>
    <n v="889353.55999999994"/>
    <n v="-46670.199999999953"/>
    <n v="-3825.0992444740996"/>
    <n v="-50495.299244474052"/>
    <n v="0"/>
    <n v="0"/>
    <n v="0"/>
    <n v="-50495.299244474052"/>
  </r>
  <r>
    <x v="0"/>
    <d v="2023-02-03T00:00:00"/>
    <d v="2023-02-24T00:00:00"/>
    <x v="9"/>
    <n v="9"/>
    <n v="6"/>
    <n v="970.91"/>
    <n v="919.96"/>
    <n v="5519.76"/>
    <n v="5825.46"/>
    <n v="-305.69999999999982"/>
    <n v="-25.055235225812876"/>
    <n v="-330.75523522581267"/>
    <n v="0"/>
    <n v="0"/>
    <n v="0"/>
    <n v="-330.75523522581267"/>
  </r>
  <r>
    <x v="1"/>
    <d v="2023-03-03T00:00:00"/>
    <d v="2023-03-24T00:00:00"/>
    <x v="9"/>
    <n v="9"/>
    <n v="5"/>
    <n v="970.91"/>
    <n v="919.96"/>
    <n v="4599.8"/>
    <n v="4854.55"/>
    <n v="-254.75"/>
    <n v="-20.879362688177398"/>
    <n v="-275.62936268817742"/>
    <n v="0"/>
    <n v="0"/>
    <n v="0"/>
    <n v="-275.62936268817742"/>
  </r>
  <r>
    <x v="2"/>
    <d v="2023-04-05T00:00:00"/>
    <d v="2023-04-24T00:00:00"/>
    <x v="9"/>
    <n v="9"/>
    <n v="5"/>
    <n v="970.91"/>
    <n v="919.96"/>
    <n v="4599.8"/>
    <n v="4854.55"/>
    <n v="-254.75"/>
    <n v="-20.879362688177398"/>
    <n v="-275.62936268817742"/>
    <n v="0"/>
    <n v="0"/>
    <n v="0"/>
    <n v="-275.62936268817742"/>
  </r>
  <r>
    <x v="3"/>
    <d v="2023-05-03T00:00:00"/>
    <d v="2023-05-24T00:00:00"/>
    <x v="9"/>
    <n v="9"/>
    <n v="7"/>
    <n v="970.91"/>
    <n v="919.96"/>
    <n v="6439.72"/>
    <n v="6796.37"/>
    <n v="-356.64999999999964"/>
    <n v="-29.231107763448357"/>
    <n v="-385.88110776344797"/>
    <n v="0"/>
    <n v="0"/>
    <n v="0"/>
    <n v="-385.88110776344797"/>
  </r>
  <r>
    <x v="4"/>
    <d v="2023-06-05T00:00:00"/>
    <d v="2023-06-26T00:00:00"/>
    <x v="9"/>
    <n v="9"/>
    <n v="4"/>
    <n v="970.91"/>
    <n v="919.96"/>
    <n v="3679.84"/>
    <n v="3883.64"/>
    <n v="-203.79999999999973"/>
    <n v="-16.703490150541917"/>
    <n v="-220.50349015054164"/>
    <n v="0"/>
    <n v="0"/>
    <n v="0"/>
    <n v="-220.50349015054164"/>
  </r>
  <r>
    <x v="5"/>
    <d v="2023-07-05T00:00:00"/>
    <d v="2023-07-24T00:00:00"/>
    <x v="9"/>
    <n v="9"/>
    <n v="14"/>
    <n v="970.91"/>
    <n v="919.96"/>
    <n v="12879.44"/>
    <n v="13592.74"/>
    <n v="-713.29999999999927"/>
    <n v="-58.462215526896713"/>
    <n v="-771.76221552689594"/>
    <n v="0"/>
    <n v="0"/>
    <n v="0"/>
    <n v="-771.76221552689594"/>
  </r>
  <r>
    <x v="6"/>
    <d v="2023-08-03T00:00:00"/>
    <d v="2023-08-24T00:00:00"/>
    <x v="9"/>
    <n v="9"/>
    <n v="13"/>
    <n v="970.91"/>
    <n v="919.96"/>
    <n v="11959.48"/>
    <n v="12621.83"/>
    <n v="-662.35000000000036"/>
    <n v="-54.286342989261229"/>
    <n v="-716.63634298926161"/>
    <n v="0"/>
    <n v="0"/>
    <n v="0"/>
    <n v="-716.63634298926161"/>
  </r>
  <r>
    <x v="7"/>
    <d v="2023-09-05T00:00:00"/>
    <d v="2023-09-25T00:00:00"/>
    <x v="9"/>
    <n v="9"/>
    <n v="19"/>
    <n v="970.91"/>
    <n v="919.96"/>
    <n v="17479.240000000002"/>
    <n v="18447.29"/>
    <n v="-968.04999999999927"/>
    <n v="-79.341578215074122"/>
    <n v="-1047.3915782150734"/>
    <n v="0"/>
    <n v="0"/>
    <n v="0"/>
    <n v="-1047.3915782150734"/>
  </r>
  <r>
    <x v="8"/>
    <d v="2023-10-04T00:00:00"/>
    <d v="2023-10-24T00:00:00"/>
    <x v="9"/>
    <n v="9"/>
    <n v="18"/>
    <n v="970.91"/>
    <n v="919.96"/>
    <n v="16559.28"/>
    <n v="17476.38"/>
    <n v="-917.10000000000218"/>
    <n v="-75.165705677438623"/>
    <n v="-992.26570567744079"/>
    <n v="0"/>
    <n v="0"/>
    <n v="0"/>
    <n v="-992.26570567744079"/>
  </r>
  <r>
    <x v="9"/>
    <d v="2023-11-03T00:00:00"/>
    <d v="2023-11-24T00:00:00"/>
    <x v="9"/>
    <n v="9"/>
    <n v="6"/>
    <n v="970.91"/>
    <n v="919.96"/>
    <n v="5519.76"/>
    <n v="5825.46"/>
    <n v="-305.69999999999982"/>
    <n v="-25.055235225812876"/>
    <n v="-330.75523522581267"/>
    <n v="0"/>
    <n v="0"/>
    <n v="0"/>
    <n v="-330.75523522581267"/>
  </r>
  <r>
    <x v="10"/>
    <d v="2023-12-05T00:00:00"/>
    <d v="2023-12-25T00:00:00"/>
    <x v="9"/>
    <n v="9"/>
    <n v="6"/>
    <n v="970.91"/>
    <n v="919.96"/>
    <n v="5519.76"/>
    <n v="5825.46"/>
    <n v="-305.69999999999982"/>
    <n v="-25.055235225812876"/>
    <n v="-330.75523522581267"/>
    <n v="0"/>
    <n v="0"/>
    <n v="0"/>
    <n v="-330.75523522581267"/>
  </r>
  <r>
    <x v="11"/>
    <d v="2024-01-03T00:00:00"/>
    <d v="2024-01-24T00:00:00"/>
    <x v="9"/>
    <n v="9"/>
    <n v="5"/>
    <n v="970.91"/>
    <n v="919.96"/>
    <n v="4599.8"/>
    <n v="4854.55"/>
    <n v="-254.75"/>
    <n v="-20.879362688177398"/>
    <n v="-275.62936268817742"/>
    <n v="0"/>
    <n v="0"/>
    <n v="0"/>
    <n v="-275.62936268817742"/>
  </r>
  <r>
    <x v="0"/>
    <d v="2023-02-03T00:00:00"/>
    <d v="2023-02-24T00:00:00"/>
    <x v="10"/>
    <n v="9"/>
    <n v="4"/>
    <n v="970.91"/>
    <n v="919.96"/>
    <n v="3679.84"/>
    <n v="3883.64"/>
    <n v="-203.79999999999973"/>
    <n v="-16.703490150541917"/>
    <n v="-220.50349015054164"/>
    <n v="0"/>
    <n v="0"/>
    <n v="0"/>
    <n v="-220.50349015054164"/>
  </r>
  <r>
    <x v="1"/>
    <d v="2023-03-03T00:00:00"/>
    <d v="2023-03-24T00:00:00"/>
    <x v="10"/>
    <n v="9"/>
    <n v="5"/>
    <n v="970.91"/>
    <n v="919.96"/>
    <n v="4599.8"/>
    <n v="4854.55"/>
    <n v="-254.75"/>
    <n v="-20.879362688177398"/>
    <n v="-275.62936268817742"/>
    <n v="0"/>
    <n v="0"/>
    <n v="0"/>
    <n v="-275.62936268817742"/>
  </r>
  <r>
    <x v="2"/>
    <d v="2023-04-05T00:00:00"/>
    <d v="2023-04-24T00:00:00"/>
    <x v="10"/>
    <n v="9"/>
    <n v="1"/>
    <n v="970.91"/>
    <n v="919.96"/>
    <n v="919.96"/>
    <n v="970.91"/>
    <n v="-50.949999999999932"/>
    <n v="-4.1758725376354793"/>
    <n v="-55.125872537635409"/>
    <n v="0"/>
    <n v="0"/>
    <n v="0"/>
    <n v="-55.125872537635409"/>
  </r>
  <r>
    <x v="3"/>
    <d v="2023-05-03T00:00:00"/>
    <d v="2023-05-24T00:00:00"/>
    <x v="10"/>
    <n v="9"/>
    <n v="7"/>
    <n v="970.91"/>
    <n v="919.96"/>
    <n v="6439.72"/>
    <n v="6796.37"/>
    <n v="-356.64999999999964"/>
    <n v="-29.231107763448357"/>
    <n v="-385.88110776344797"/>
    <n v="0"/>
    <n v="0"/>
    <n v="0"/>
    <n v="-385.88110776344797"/>
  </r>
  <r>
    <x v="4"/>
    <d v="2023-06-05T00:00:00"/>
    <d v="2023-06-26T00:00:00"/>
    <x v="10"/>
    <n v="9"/>
    <n v="3"/>
    <n v="970.91"/>
    <n v="919.96"/>
    <n v="2759.88"/>
    <n v="2912.73"/>
    <n v="-152.84999999999991"/>
    <n v="-12.527617612906438"/>
    <n v="-165.37761761290633"/>
    <n v="0"/>
    <n v="0"/>
    <n v="0"/>
    <n v="-165.37761761290633"/>
  </r>
  <r>
    <x v="5"/>
    <d v="2023-07-05T00:00:00"/>
    <d v="2023-07-24T00:00:00"/>
    <x v="10"/>
    <n v="9"/>
    <n v="7"/>
    <n v="970.91"/>
    <n v="919.96"/>
    <n v="6439.72"/>
    <n v="6796.37"/>
    <n v="-356.64999999999964"/>
    <n v="-29.231107763448357"/>
    <n v="-385.88110776344797"/>
    <n v="0"/>
    <n v="0"/>
    <n v="0"/>
    <n v="-385.88110776344797"/>
  </r>
  <r>
    <x v="6"/>
    <d v="2023-08-03T00:00:00"/>
    <d v="2023-08-24T00:00:00"/>
    <x v="10"/>
    <n v="9"/>
    <n v="5"/>
    <n v="970.91"/>
    <n v="919.96"/>
    <n v="4599.8"/>
    <n v="4854.55"/>
    <n v="-254.75"/>
    <n v="-20.879362688177398"/>
    <n v="-275.62936268817742"/>
    <n v="0"/>
    <n v="0"/>
    <n v="0"/>
    <n v="-275.62936268817742"/>
  </r>
  <r>
    <x v="7"/>
    <d v="2023-09-05T00:00:00"/>
    <d v="2023-09-25T00:00:00"/>
    <x v="10"/>
    <n v="9"/>
    <n v="5"/>
    <n v="970.91"/>
    <n v="919.96"/>
    <n v="4599.8"/>
    <n v="4854.55"/>
    <n v="-254.75"/>
    <n v="-20.879362688177398"/>
    <n v="-275.62936268817742"/>
    <n v="0"/>
    <n v="0"/>
    <n v="0"/>
    <n v="-275.62936268817742"/>
  </r>
  <r>
    <x v="8"/>
    <d v="2023-10-04T00:00:00"/>
    <d v="2023-10-24T00:00:00"/>
    <x v="10"/>
    <n v="9"/>
    <n v="6"/>
    <n v="970.91"/>
    <n v="919.96"/>
    <n v="5519.76"/>
    <n v="5825.46"/>
    <n v="-305.69999999999982"/>
    <n v="-25.055235225812876"/>
    <n v="-330.75523522581267"/>
    <n v="0"/>
    <n v="0"/>
    <n v="0"/>
    <n v="-330.75523522581267"/>
  </r>
  <r>
    <x v="9"/>
    <d v="2023-11-03T00:00:00"/>
    <d v="2023-11-24T00:00:00"/>
    <x v="10"/>
    <n v="9"/>
    <n v="5"/>
    <n v="970.91"/>
    <n v="919.96"/>
    <n v="4599.8"/>
    <n v="4854.55"/>
    <n v="-254.75"/>
    <n v="-20.879362688177398"/>
    <n v="-275.62936268817742"/>
    <n v="0"/>
    <n v="0"/>
    <n v="0"/>
    <n v="-275.62936268817742"/>
  </r>
  <r>
    <x v="10"/>
    <d v="2023-12-05T00:00:00"/>
    <d v="2023-12-25T00:00:00"/>
    <x v="10"/>
    <n v="9"/>
    <n v="4"/>
    <n v="970.91"/>
    <n v="919.96"/>
    <n v="3679.84"/>
    <n v="3883.64"/>
    <n v="-203.79999999999973"/>
    <n v="-16.703490150541917"/>
    <n v="-220.50349015054164"/>
    <n v="0"/>
    <n v="0"/>
    <n v="0"/>
    <n v="-220.50349015054164"/>
  </r>
  <r>
    <x v="11"/>
    <d v="2024-01-03T00:00:00"/>
    <d v="2024-01-24T00:00:00"/>
    <x v="10"/>
    <n v="9"/>
    <n v="4"/>
    <n v="970.91"/>
    <n v="919.96"/>
    <n v="3679.84"/>
    <n v="3883.64"/>
    <n v="-203.79999999999973"/>
    <n v="-16.703490150541917"/>
    <n v="-220.50349015054164"/>
    <n v="0"/>
    <n v="0"/>
    <n v="0"/>
    <n v="-220.50349015054164"/>
  </r>
  <r>
    <x v="0"/>
    <d v="2023-02-03T00:00:00"/>
    <d v="2023-02-24T00:00:00"/>
    <x v="11"/>
    <n v="9"/>
    <n v="113"/>
    <n v="970.91"/>
    <n v="919.96"/>
    <n v="103955.48000000001"/>
    <n v="109712.83"/>
    <n v="-5757.3499999999913"/>
    <n v="-471.87359675280914"/>
    <n v="-6229.2235967528004"/>
    <n v="0"/>
    <n v="0"/>
    <n v="0"/>
    <n v="-6229.2235967528004"/>
  </r>
  <r>
    <x v="1"/>
    <d v="2023-03-03T00:00:00"/>
    <d v="2023-03-24T00:00:00"/>
    <x v="11"/>
    <n v="9"/>
    <n v="108"/>
    <n v="970.91"/>
    <n v="919.96"/>
    <n v="99355.680000000008"/>
    <n v="104858.28"/>
    <n v="-5502.5999999999913"/>
    <n v="-450.99423406463183"/>
    <n v="-5953.5942340646234"/>
    <n v="0"/>
    <n v="0"/>
    <n v="0"/>
    <n v="-5953.5942340646234"/>
  </r>
  <r>
    <x v="2"/>
    <d v="2023-04-05T00:00:00"/>
    <d v="2023-04-24T00:00:00"/>
    <x v="11"/>
    <n v="9"/>
    <n v="96"/>
    <n v="970.91"/>
    <n v="919.96"/>
    <n v="88316.160000000003"/>
    <n v="93207.360000000001"/>
    <n v="-4891.1999999999971"/>
    <n v="-400.88376361300601"/>
    <n v="-5292.0837636130027"/>
    <n v="0"/>
    <n v="0"/>
    <n v="0"/>
    <n v="-5292.0837636130027"/>
  </r>
  <r>
    <x v="3"/>
    <d v="2023-05-03T00:00:00"/>
    <d v="2023-05-24T00:00:00"/>
    <x v="11"/>
    <n v="9"/>
    <n v="91"/>
    <n v="970.91"/>
    <n v="919.96"/>
    <n v="83716.36"/>
    <n v="88352.81"/>
    <n v="-4636.4499999999971"/>
    <n v="-380.00440092482864"/>
    <n v="-5016.4544009248257"/>
    <n v="0"/>
    <n v="0"/>
    <n v="0"/>
    <n v="-5016.4544009248257"/>
  </r>
  <r>
    <x v="4"/>
    <d v="2023-06-05T00:00:00"/>
    <d v="2023-06-26T00:00:00"/>
    <x v="11"/>
    <n v="9"/>
    <n v="125"/>
    <n v="970.91"/>
    <n v="919.96"/>
    <n v="114995"/>
    <n v="121363.75"/>
    <n v="-6368.75"/>
    <n v="-521.98406720443495"/>
    <n v="-6890.7340672044347"/>
    <n v="0"/>
    <n v="0"/>
    <n v="0"/>
    <n v="-6890.7340672044347"/>
  </r>
  <r>
    <x v="5"/>
    <d v="2023-07-05T00:00:00"/>
    <d v="2023-07-24T00:00:00"/>
    <x v="11"/>
    <n v="9"/>
    <n v="167"/>
    <n v="970.91"/>
    <n v="919.96"/>
    <n v="153633.32"/>
    <n v="162141.97"/>
    <n v="-8508.6499999999942"/>
    <n v="-697.37071378512508"/>
    <n v="-9206.0207137851194"/>
    <n v="0"/>
    <n v="0"/>
    <n v="0"/>
    <n v="-9206.0207137851194"/>
  </r>
  <r>
    <x v="6"/>
    <d v="2023-08-03T00:00:00"/>
    <d v="2023-08-24T00:00:00"/>
    <x v="11"/>
    <n v="9"/>
    <n v="160"/>
    <n v="970.91"/>
    <n v="919.96"/>
    <n v="147193.60000000001"/>
    <n v="155345.60000000001"/>
    <n v="-8152"/>
    <n v="-668.13960602167674"/>
    <n v="-8820.1396060216775"/>
    <n v="0"/>
    <n v="0"/>
    <n v="0"/>
    <n v="-8820.1396060216775"/>
  </r>
  <r>
    <x v="7"/>
    <d v="2023-09-05T00:00:00"/>
    <d v="2023-09-25T00:00:00"/>
    <x v="11"/>
    <n v="9"/>
    <n v="181"/>
    <n v="970.91"/>
    <n v="919.96"/>
    <n v="166512.76"/>
    <n v="175734.71"/>
    <n v="-9221.9499999999825"/>
    <n v="-755.83292931202175"/>
    <n v="-9977.7829293120049"/>
    <n v="0"/>
    <n v="0"/>
    <n v="0"/>
    <n v="-9977.7829293120049"/>
  </r>
  <r>
    <x v="8"/>
    <d v="2023-10-04T00:00:00"/>
    <d v="2023-10-24T00:00:00"/>
    <x v="11"/>
    <n v="9"/>
    <n v="157"/>
    <n v="970.91"/>
    <n v="919.96"/>
    <n v="144433.72"/>
    <n v="152432.87"/>
    <n v="-7999.1499999999942"/>
    <n v="-655.61198840877023"/>
    <n v="-8654.7619884087653"/>
    <n v="0"/>
    <n v="0"/>
    <n v="0"/>
    <n v="-8654.7619884087653"/>
  </r>
  <r>
    <x v="9"/>
    <d v="2023-11-03T00:00:00"/>
    <d v="2023-11-24T00:00:00"/>
    <x v="11"/>
    <n v="9"/>
    <n v="118"/>
    <n v="970.91"/>
    <n v="919.96"/>
    <n v="108555.28"/>
    <n v="114567.37999999999"/>
    <n v="-6012.0999999999913"/>
    <n v="-492.75295944098656"/>
    <n v="-6504.8529594409774"/>
    <n v="0"/>
    <n v="0"/>
    <n v="0"/>
    <n v="-6504.8529594409774"/>
  </r>
  <r>
    <x v="10"/>
    <d v="2023-12-05T00:00:00"/>
    <d v="2023-12-25T00:00:00"/>
    <x v="11"/>
    <n v="9"/>
    <n v="102"/>
    <n v="970.91"/>
    <n v="919.96"/>
    <n v="93835.92"/>
    <n v="99032.819999999992"/>
    <n v="-5196.8999999999942"/>
    <n v="-425.93899883881886"/>
    <n v="-5622.8389988388135"/>
    <n v="0"/>
    <n v="0"/>
    <n v="0"/>
    <n v="-5622.8389988388135"/>
  </r>
  <r>
    <x v="11"/>
    <d v="2024-01-03T00:00:00"/>
    <d v="2024-01-24T00:00:00"/>
    <x v="11"/>
    <n v="9"/>
    <n v="99"/>
    <n v="970.91"/>
    <n v="919.96"/>
    <n v="91076.040000000008"/>
    <n v="96120.09"/>
    <n v="-5044.0499999999884"/>
    <n v="-413.41138122591252"/>
    <n v="-5457.4613812259013"/>
    <n v="0"/>
    <n v="0"/>
    <n v="0"/>
    <n v="-5457.4613812259013"/>
  </r>
  <r>
    <x v="0"/>
    <d v="2023-02-03T00:00:00"/>
    <d v="2023-02-24T00:00:00"/>
    <x v="12"/>
    <n v="9"/>
    <n v="7"/>
    <n v="970.91"/>
    <n v="919.96"/>
    <n v="6439.72"/>
    <n v="6796.37"/>
    <n v="-356.64999999999964"/>
    <n v="-29.231107763448357"/>
    <n v="-385.88110776344797"/>
    <n v="0"/>
    <n v="0"/>
    <n v="0"/>
    <n v="-385.88110776344797"/>
  </r>
  <r>
    <x v="1"/>
    <d v="2023-03-03T00:00:00"/>
    <d v="2023-03-24T00:00:00"/>
    <x v="12"/>
    <n v="9"/>
    <n v="10"/>
    <n v="970.91"/>
    <n v="919.96"/>
    <n v="9199.6"/>
    <n v="9709.1"/>
    <n v="-509.5"/>
    <n v="-41.758725376354796"/>
    <n v="-551.25872537635485"/>
    <n v="0"/>
    <n v="0"/>
    <n v="0"/>
    <n v="-551.25872537635485"/>
  </r>
  <r>
    <x v="2"/>
    <d v="2023-04-05T00:00:00"/>
    <d v="2023-04-24T00:00:00"/>
    <x v="12"/>
    <n v="9"/>
    <n v="8"/>
    <n v="970.91"/>
    <n v="919.96"/>
    <n v="7359.68"/>
    <n v="7767.28"/>
    <n v="-407.59999999999945"/>
    <n v="-33.406980301083834"/>
    <n v="-441.00698030108327"/>
    <n v="0"/>
    <n v="0"/>
    <n v="0"/>
    <n v="-441.00698030108327"/>
  </r>
  <r>
    <x v="3"/>
    <d v="2023-05-03T00:00:00"/>
    <d v="2023-05-24T00:00:00"/>
    <x v="12"/>
    <n v="9"/>
    <n v="8"/>
    <n v="970.91"/>
    <n v="919.96"/>
    <n v="7359.68"/>
    <n v="7767.28"/>
    <n v="-407.59999999999945"/>
    <n v="-33.406980301083834"/>
    <n v="-441.00698030108327"/>
    <n v="0"/>
    <n v="0"/>
    <n v="0"/>
    <n v="-441.00698030108327"/>
  </r>
  <r>
    <x v="4"/>
    <d v="2023-06-05T00:00:00"/>
    <d v="2023-06-26T00:00:00"/>
    <x v="12"/>
    <n v="9"/>
    <n v="10"/>
    <n v="970.91"/>
    <n v="919.96"/>
    <n v="9199.6"/>
    <n v="9709.1"/>
    <n v="-509.5"/>
    <n v="-41.758725376354796"/>
    <n v="-551.25872537635485"/>
    <n v="0"/>
    <n v="0"/>
    <n v="0"/>
    <n v="-551.25872537635485"/>
  </r>
  <r>
    <x v="5"/>
    <d v="2023-07-05T00:00:00"/>
    <d v="2023-07-24T00:00:00"/>
    <x v="12"/>
    <n v="9"/>
    <n v="12"/>
    <n v="970.91"/>
    <n v="919.96"/>
    <n v="11039.52"/>
    <n v="11650.92"/>
    <n v="-611.39999999999964"/>
    <n v="-50.110470451625751"/>
    <n v="-661.51047045162534"/>
    <n v="0"/>
    <n v="0"/>
    <n v="0"/>
    <n v="-661.51047045162534"/>
  </r>
  <r>
    <x v="6"/>
    <d v="2023-08-03T00:00:00"/>
    <d v="2023-08-24T00:00:00"/>
    <x v="12"/>
    <n v="9"/>
    <n v="14"/>
    <n v="970.91"/>
    <n v="919.96"/>
    <n v="12879.44"/>
    <n v="13592.74"/>
    <n v="-713.29999999999927"/>
    <n v="-58.462215526896713"/>
    <n v="-771.76221552689594"/>
    <n v="0"/>
    <n v="0"/>
    <n v="0"/>
    <n v="-771.76221552689594"/>
  </r>
  <r>
    <x v="7"/>
    <d v="2023-09-05T00:00:00"/>
    <d v="2023-09-25T00:00:00"/>
    <x v="12"/>
    <n v="9"/>
    <n v="13"/>
    <n v="970.91"/>
    <n v="919.96"/>
    <n v="11959.48"/>
    <n v="12621.83"/>
    <n v="-662.35000000000036"/>
    <n v="-54.286342989261229"/>
    <n v="-716.63634298926161"/>
    <n v="0"/>
    <n v="0"/>
    <n v="0"/>
    <n v="-716.63634298926161"/>
  </r>
  <r>
    <x v="8"/>
    <d v="2023-10-04T00:00:00"/>
    <d v="2023-10-24T00:00:00"/>
    <x v="12"/>
    <n v="9"/>
    <n v="13"/>
    <n v="970.91"/>
    <n v="919.96"/>
    <n v="11959.48"/>
    <n v="12621.83"/>
    <n v="-662.35000000000036"/>
    <n v="-54.286342989261229"/>
    <n v="-716.63634298926161"/>
    <n v="0"/>
    <n v="0"/>
    <n v="0"/>
    <n v="-716.63634298926161"/>
  </r>
  <r>
    <x v="9"/>
    <d v="2023-11-03T00:00:00"/>
    <d v="2023-11-24T00:00:00"/>
    <x v="12"/>
    <n v="9"/>
    <n v="11"/>
    <n v="970.91"/>
    <n v="919.96"/>
    <n v="10119.560000000001"/>
    <n v="10680.01"/>
    <n v="-560.44999999999891"/>
    <n v="-45.934597913990281"/>
    <n v="-606.38459791398918"/>
    <n v="0"/>
    <n v="0"/>
    <n v="0"/>
    <n v="-606.38459791398918"/>
  </r>
  <r>
    <x v="10"/>
    <d v="2023-12-05T00:00:00"/>
    <d v="2023-12-25T00:00:00"/>
    <x v="12"/>
    <n v="9"/>
    <n v="7"/>
    <n v="970.91"/>
    <n v="919.96"/>
    <n v="6439.72"/>
    <n v="6796.37"/>
    <n v="-356.64999999999964"/>
    <n v="-29.231107763448357"/>
    <n v="-385.88110776344797"/>
    <n v="0"/>
    <n v="0"/>
    <n v="0"/>
    <n v="-385.88110776344797"/>
  </r>
  <r>
    <x v="11"/>
    <d v="2024-01-03T00:00:00"/>
    <d v="2024-01-24T00:00:00"/>
    <x v="12"/>
    <n v="9"/>
    <n v="8"/>
    <n v="970.91"/>
    <n v="919.96"/>
    <n v="7359.68"/>
    <n v="7767.28"/>
    <n v="-407.59999999999945"/>
    <n v="-33.406980301083834"/>
    <n v="-441.00698030108327"/>
    <n v="0"/>
    <n v="0"/>
    <n v="0"/>
    <n v="-441.00698030108327"/>
  </r>
  <r>
    <x v="0"/>
    <d v="2023-02-03T00:00:00"/>
    <d v="2023-02-24T00:00:00"/>
    <x v="13"/>
    <n v="9"/>
    <n v="21"/>
    <n v="970.91"/>
    <n v="919.96"/>
    <n v="19319.16"/>
    <n v="20389.11"/>
    <n v="-1069.9500000000007"/>
    <n v="-87.693323290345063"/>
    <n v="-1157.6433232903457"/>
    <n v="0"/>
    <n v="0"/>
    <n v="0"/>
    <n v="-1157.6433232903457"/>
  </r>
  <r>
    <x v="1"/>
    <d v="2023-03-03T00:00:00"/>
    <d v="2023-03-24T00:00:00"/>
    <x v="13"/>
    <n v="9"/>
    <n v="21"/>
    <n v="970.91"/>
    <n v="919.96"/>
    <n v="19319.16"/>
    <n v="20389.11"/>
    <n v="-1069.9500000000007"/>
    <n v="-87.693323290345063"/>
    <n v="-1157.6433232903457"/>
    <n v="0"/>
    <n v="0"/>
    <n v="0"/>
    <n v="-1157.6433232903457"/>
  </r>
  <r>
    <x v="2"/>
    <d v="2023-04-05T00:00:00"/>
    <d v="2023-04-24T00:00:00"/>
    <x v="13"/>
    <n v="9"/>
    <n v="19"/>
    <n v="970.91"/>
    <n v="919.96"/>
    <n v="17479.240000000002"/>
    <n v="18447.29"/>
    <n v="-968.04999999999927"/>
    <n v="-79.341578215074122"/>
    <n v="-1047.3915782150734"/>
    <n v="0"/>
    <n v="0"/>
    <n v="0"/>
    <n v="-1047.3915782150734"/>
  </r>
  <r>
    <x v="3"/>
    <d v="2023-05-03T00:00:00"/>
    <d v="2023-05-24T00:00:00"/>
    <x v="13"/>
    <n v="9"/>
    <n v="21"/>
    <n v="970.91"/>
    <n v="919.96"/>
    <n v="19319.16"/>
    <n v="20389.11"/>
    <n v="-1069.9500000000007"/>
    <n v="-87.693323290345063"/>
    <n v="-1157.6433232903457"/>
    <n v="0"/>
    <n v="0"/>
    <n v="0"/>
    <n v="-1157.6433232903457"/>
  </r>
  <r>
    <x v="4"/>
    <d v="2023-06-05T00:00:00"/>
    <d v="2023-06-26T00:00:00"/>
    <x v="13"/>
    <n v="9"/>
    <n v="28"/>
    <n v="970.91"/>
    <n v="919.96"/>
    <n v="25758.880000000001"/>
    <n v="27185.48"/>
    <n v="-1426.5999999999985"/>
    <n v="-116.92443105379343"/>
    <n v="-1543.5244310537919"/>
    <n v="0"/>
    <n v="0"/>
    <n v="0"/>
    <n v="-1543.5244310537919"/>
  </r>
  <r>
    <x v="5"/>
    <d v="2023-07-05T00:00:00"/>
    <d v="2023-07-24T00:00:00"/>
    <x v="13"/>
    <n v="9"/>
    <n v="37"/>
    <n v="970.91"/>
    <n v="919.96"/>
    <n v="34038.520000000004"/>
    <n v="35923.67"/>
    <n v="-1885.1499999999942"/>
    <n v="-154.50728389251273"/>
    <n v="-2039.6572838925069"/>
    <n v="0"/>
    <n v="0"/>
    <n v="0"/>
    <n v="-2039.6572838925069"/>
  </r>
  <r>
    <x v="6"/>
    <d v="2023-08-03T00:00:00"/>
    <d v="2023-08-24T00:00:00"/>
    <x v="13"/>
    <n v="9"/>
    <n v="38"/>
    <n v="970.91"/>
    <n v="919.96"/>
    <n v="34958.480000000003"/>
    <n v="36894.58"/>
    <n v="-1936.0999999999985"/>
    <n v="-158.68315643014824"/>
    <n v="-2094.7831564301468"/>
    <n v="0"/>
    <n v="0"/>
    <n v="0"/>
    <n v="-2094.7831564301468"/>
  </r>
  <r>
    <x v="7"/>
    <d v="2023-09-05T00:00:00"/>
    <d v="2023-09-25T00:00:00"/>
    <x v="13"/>
    <n v="9"/>
    <n v="40"/>
    <n v="970.91"/>
    <n v="919.96"/>
    <n v="36798.400000000001"/>
    <n v="38836.400000000001"/>
    <n v="-2038"/>
    <n v="-167.03490150541919"/>
    <n v="-2205.0349015054194"/>
    <n v="0"/>
    <n v="0"/>
    <n v="0"/>
    <n v="-2205.0349015054194"/>
  </r>
  <r>
    <x v="8"/>
    <d v="2023-10-04T00:00:00"/>
    <d v="2023-10-24T00:00:00"/>
    <x v="13"/>
    <n v="9"/>
    <n v="37"/>
    <n v="970.91"/>
    <n v="919.96"/>
    <n v="34038.520000000004"/>
    <n v="35923.67"/>
    <n v="-1885.1499999999942"/>
    <n v="-154.50728389251273"/>
    <n v="-2039.6572838925069"/>
    <n v="0"/>
    <n v="0"/>
    <n v="0"/>
    <n v="-2039.6572838925069"/>
  </r>
  <r>
    <x v="9"/>
    <d v="2023-11-03T00:00:00"/>
    <d v="2023-11-24T00:00:00"/>
    <x v="13"/>
    <n v="9"/>
    <n v="30"/>
    <n v="970.91"/>
    <n v="919.96"/>
    <n v="27598.800000000003"/>
    <n v="29127.3"/>
    <n v="-1528.4999999999964"/>
    <n v="-125.27617612906438"/>
    <n v="-1653.7761761290608"/>
    <n v="0"/>
    <n v="0"/>
    <n v="0"/>
    <n v="-1653.7761761290608"/>
  </r>
  <r>
    <x v="10"/>
    <d v="2023-12-05T00:00:00"/>
    <d v="2023-12-25T00:00:00"/>
    <x v="13"/>
    <n v="9"/>
    <n v="19"/>
    <n v="970.91"/>
    <n v="919.96"/>
    <n v="17479.240000000002"/>
    <n v="18447.29"/>
    <n v="-968.04999999999927"/>
    <n v="-79.341578215074122"/>
    <n v="-1047.3915782150734"/>
    <n v="0"/>
    <n v="0"/>
    <n v="0"/>
    <n v="-1047.3915782150734"/>
  </r>
  <r>
    <x v="11"/>
    <d v="2024-01-03T00:00:00"/>
    <d v="2024-01-24T00:00:00"/>
    <x v="13"/>
    <n v="9"/>
    <n v="20"/>
    <n v="970.91"/>
    <n v="919.96"/>
    <n v="18399.2"/>
    <n v="19418.2"/>
    <n v="-1019"/>
    <n v="-83.517450752709593"/>
    <n v="-1102.5174507527097"/>
    <n v="0"/>
    <n v="0"/>
    <n v="0"/>
    <n v="-1102.5174507527097"/>
  </r>
  <r>
    <x v="0"/>
    <d v="2023-02-03T00:00:00"/>
    <d v="2023-02-24T00:00:00"/>
    <x v="14"/>
    <n v="9"/>
    <n v="36"/>
    <n v="970.91"/>
    <n v="919.96"/>
    <n v="33118.559999999998"/>
    <n v="34952.76"/>
    <n v="-1834.2000000000044"/>
    <n v="-150.33141135487725"/>
    <n v="-1984.5314113548816"/>
    <n v="0"/>
    <n v="0"/>
    <n v="0"/>
    <n v="-1984.5314113548816"/>
  </r>
  <r>
    <x v="1"/>
    <d v="2023-03-03T00:00:00"/>
    <d v="2023-03-24T00:00:00"/>
    <x v="14"/>
    <n v="9"/>
    <n v="32"/>
    <n v="970.91"/>
    <n v="919.96"/>
    <n v="29438.720000000001"/>
    <n v="31069.119999999999"/>
    <n v="-1630.3999999999978"/>
    <n v="-133.62792120433534"/>
    <n v="-1764.0279212043331"/>
    <n v="0"/>
    <n v="0"/>
    <n v="0"/>
    <n v="-1764.0279212043331"/>
  </r>
  <r>
    <x v="2"/>
    <d v="2023-04-05T00:00:00"/>
    <d v="2023-04-24T00:00:00"/>
    <x v="14"/>
    <n v="9"/>
    <n v="32"/>
    <n v="970.91"/>
    <n v="919.96"/>
    <n v="29438.720000000001"/>
    <n v="31069.119999999999"/>
    <n v="-1630.3999999999978"/>
    <n v="-133.62792120433534"/>
    <n v="-1764.0279212043331"/>
    <n v="0"/>
    <n v="0"/>
    <n v="0"/>
    <n v="-1764.0279212043331"/>
  </r>
  <r>
    <x v="3"/>
    <d v="2023-05-03T00:00:00"/>
    <d v="2023-05-24T00:00:00"/>
    <x v="14"/>
    <n v="9"/>
    <n v="31"/>
    <n v="970.91"/>
    <n v="919.96"/>
    <n v="28518.760000000002"/>
    <n v="30098.21"/>
    <n v="-1579.4499999999971"/>
    <n v="-129.45204866669985"/>
    <n v="-1708.9020486666968"/>
    <n v="0"/>
    <n v="0"/>
    <n v="0"/>
    <n v="-1708.9020486666968"/>
  </r>
  <r>
    <x v="4"/>
    <d v="2023-06-05T00:00:00"/>
    <d v="2023-06-26T00:00:00"/>
    <x v="14"/>
    <n v="9"/>
    <n v="38"/>
    <n v="970.91"/>
    <n v="919.96"/>
    <n v="34958.480000000003"/>
    <n v="36894.58"/>
    <n v="-1936.0999999999985"/>
    <n v="-158.68315643014824"/>
    <n v="-2094.7831564301468"/>
    <n v="0"/>
    <n v="0"/>
    <n v="0"/>
    <n v="-2094.7831564301468"/>
  </r>
  <r>
    <x v="5"/>
    <d v="2023-07-05T00:00:00"/>
    <d v="2023-07-24T00:00:00"/>
    <x v="14"/>
    <n v="9"/>
    <n v="48"/>
    <n v="970.91"/>
    <n v="919.96"/>
    <n v="44158.080000000002"/>
    <n v="46603.68"/>
    <n v="-2445.5999999999985"/>
    <n v="-200.44188180650301"/>
    <n v="-2646.0418818065014"/>
    <n v="0"/>
    <n v="0"/>
    <n v="0"/>
    <n v="-2646.0418818065014"/>
  </r>
  <r>
    <x v="6"/>
    <d v="2023-08-03T00:00:00"/>
    <d v="2023-08-24T00:00:00"/>
    <x v="14"/>
    <n v="9"/>
    <n v="49"/>
    <n v="970.91"/>
    <n v="919.96"/>
    <n v="45078.04"/>
    <n v="47574.59"/>
    <n v="-2496.5499999999956"/>
    <n v="-204.61775434413849"/>
    <n v="-2701.1677543441342"/>
    <n v="0"/>
    <n v="0"/>
    <n v="0"/>
    <n v="-2701.1677543441342"/>
  </r>
  <r>
    <x v="7"/>
    <d v="2023-09-05T00:00:00"/>
    <d v="2023-09-25T00:00:00"/>
    <x v="14"/>
    <n v="9"/>
    <n v="50"/>
    <n v="970.91"/>
    <n v="919.96"/>
    <n v="45998"/>
    <n v="48545.5"/>
    <n v="-2547.5"/>
    <n v="-208.79362688177397"/>
    <n v="-2756.2936268817739"/>
    <n v="0"/>
    <n v="0"/>
    <n v="0"/>
    <n v="-2756.2936268817739"/>
  </r>
  <r>
    <x v="8"/>
    <d v="2023-10-04T00:00:00"/>
    <d v="2023-10-24T00:00:00"/>
    <x v="14"/>
    <n v="9"/>
    <n v="47"/>
    <n v="970.91"/>
    <n v="919.96"/>
    <n v="43238.12"/>
    <n v="45632.77"/>
    <n v="-2394.6499999999942"/>
    <n v="-196.26600926886755"/>
    <n v="-2590.9160092688617"/>
    <n v="0"/>
    <n v="0"/>
    <n v="0"/>
    <n v="-2590.9160092688617"/>
  </r>
  <r>
    <x v="9"/>
    <d v="2023-11-03T00:00:00"/>
    <d v="2023-11-24T00:00:00"/>
    <x v="14"/>
    <n v="9"/>
    <n v="36"/>
    <n v="970.91"/>
    <n v="919.96"/>
    <n v="33118.559999999998"/>
    <n v="34952.76"/>
    <n v="-1834.2000000000044"/>
    <n v="-150.33141135487725"/>
    <n v="-1984.5314113548816"/>
    <n v="0"/>
    <n v="0"/>
    <n v="0"/>
    <n v="-1984.5314113548816"/>
  </r>
  <r>
    <x v="10"/>
    <d v="2023-12-05T00:00:00"/>
    <d v="2023-12-25T00:00:00"/>
    <x v="14"/>
    <n v="9"/>
    <n v="26"/>
    <n v="970.91"/>
    <n v="919.96"/>
    <n v="23918.959999999999"/>
    <n v="25243.66"/>
    <n v="-1324.7000000000007"/>
    <n v="-108.57268597852246"/>
    <n v="-1433.2726859785232"/>
    <n v="0"/>
    <n v="0"/>
    <n v="0"/>
    <n v="-1433.2726859785232"/>
  </r>
  <r>
    <x v="11"/>
    <d v="2024-01-03T00:00:00"/>
    <d v="2024-01-24T00:00:00"/>
    <x v="14"/>
    <n v="9"/>
    <n v="31"/>
    <n v="970.91"/>
    <n v="919.96"/>
    <n v="28518.760000000002"/>
    <n v="30098.21"/>
    <n v="-1579.4499999999971"/>
    <n v="-129.45204866669985"/>
    <n v="-1708.9020486666968"/>
    <n v="0"/>
    <n v="0"/>
    <n v="0"/>
    <n v="-1708.9020486666968"/>
  </r>
  <r>
    <x v="0"/>
    <d v="2023-02-03T00:00:00"/>
    <d v="2023-02-24T00:00:00"/>
    <x v="15"/>
    <n v="9"/>
    <n v="104"/>
    <n v="970.91"/>
    <n v="919.96"/>
    <n v="95675.839999999997"/>
    <n v="100974.64"/>
    <n v="-5298.8000000000029"/>
    <n v="-434.29074391408983"/>
    <n v="-5733.0907439140929"/>
    <n v="0"/>
    <n v="0"/>
    <n v="0"/>
    <n v="-5733.0907439140929"/>
  </r>
  <r>
    <x v="1"/>
    <d v="2023-03-03T00:00:00"/>
    <d v="2023-03-24T00:00:00"/>
    <x v="15"/>
    <n v="9"/>
    <n v="107"/>
    <n v="970.91"/>
    <n v="919.96"/>
    <n v="98435.72"/>
    <n v="103887.37"/>
    <n v="-5451.6499999999942"/>
    <n v="-446.81836152699628"/>
    <n v="-5898.4683615269905"/>
    <n v="0"/>
    <n v="0"/>
    <n v="0"/>
    <n v="-5898.4683615269905"/>
  </r>
  <r>
    <x v="2"/>
    <d v="2023-04-05T00:00:00"/>
    <d v="2023-04-24T00:00:00"/>
    <x v="15"/>
    <n v="9"/>
    <n v="103"/>
    <n v="970.91"/>
    <n v="919.96"/>
    <n v="94755.88"/>
    <n v="100003.73"/>
    <n v="-5247.8499999999913"/>
    <n v="-430.1148713764544"/>
    <n v="-5677.9648713764454"/>
    <n v="0"/>
    <n v="0"/>
    <n v="0"/>
    <n v="-5677.9648713764454"/>
  </r>
  <r>
    <x v="3"/>
    <d v="2023-05-03T00:00:00"/>
    <d v="2023-05-24T00:00:00"/>
    <x v="15"/>
    <n v="9"/>
    <n v="98"/>
    <n v="970.91"/>
    <n v="919.96"/>
    <n v="90156.08"/>
    <n v="95149.18"/>
    <n v="-4993.0999999999913"/>
    <n v="-409.23550868827698"/>
    <n v="-5402.3355086882684"/>
    <n v="0"/>
    <n v="0"/>
    <n v="0"/>
    <n v="-5402.3355086882684"/>
  </r>
  <r>
    <x v="4"/>
    <d v="2023-06-05T00:00:00"/>
    <d v="2023-06-26T00:00:00"/>
    <x v="15"/>
    <n v="9"/>
    <n v="105"/>
    <n v="970.91"/>
    <n v="919.96"/>
    <n v="96595.8"/>
    <n v="101945.55"/>
    <n v="-5349.75"/>
    <n v="-438.46661645172537"/>
    <n v="-5788.2166164517257"/>
    <n v="0"/>
    <n v="0"/>
    <n v="0"/>
    <n v="-5788.2166164517257"/>
  </r>
  <r>
    <x v="5"/>
    <d v="2023-07-05T00:00:00"/>
    <d v="2023-07-24T00:00:00"/>
    <x v="15"/>
    <n v="9"/>
    <n v="115"/>
    <n v="970.91"/>
    <n v="919.96"/>
    <n v="105795.40000000001"/>
    <n v="111654.65"/>
    <n v="-5859.2499999999854"/>
    <n v="-480.2253418280801"/>
    <n v="-6339.4753418280652"/>
    <n v="0"/>
    <n v="0"/>
    <n v="0"/>
    <n v="-6339.4753418280652"/>
  </r>
  <r>
    <x v="6"/>
    <d v="2023-08-03T00:00:00"/>
    <d v="2023-08-24T00:00:00"/>
    <x v="15"/>
    <n v="9"/>
    <n v="110"/>
    <n v="970.91"/>
    <n v="919.96"/>
    <n v="101195.6"/>
    <n v="106800.09999999999"/>
    <n v="-5604.4999999999854"/>
    <n v="-459.34597913990279"/>
    <n v="-6063.8459791398882"/>
    <n v="0"/>
    <n v="0"/>
    <n v="0"/>
    <n v="-6063.8459791398882"/>
  </r>
  <r>
    <x v="7"/>
    <d v="2023-09-05T00:00:00"/>
    <d v="2023-09-25T00:00:00"/>
    <x v="15"/>
    <n v="9"/>
    <n v="109"/>
    <n v="970.91"/>
    <n v="919.96"/>
    <n v="100275.64"/>
    <n v="105829.19"/>
    <n v="-5553.5500000000029"/>
    <n v="-455.17010660226725"/>
    <n v="-6008.7201066022699"/>
    <n v="0"/>
    <n v="0"/>
    <n v="0"/>
    <n v="-6008.7201066022699"/>
  </r>
  <r>
    <x v="8"/>
    <d v="2023-10-04T00:00:00"/>
    <d v="2023-10-24T00:00:00"/>
    <x v="15"/>
    <n v="9"/>
    <n v="112"/>
    <n v="970.91"/>
    <n v="919.96"/>
    <n v="103035.52"/>
    <n v="108741.92"/>
    <n v="-5706.3999999999942"/>
    <n v="-467.69772421517371"/>
    <n v="-6174.0977242151675"/>
    <n v="0"/>
    <n v="0"/>
    <n v="0"/>
    <n v="-6174.0977242151675"/>
  </r>
  <r>
    <x v="9"/>
    <d v="2023-11-03T00:00:00"/>
    <d v="2023-11-24T00:00:00"/>
    <x v="15"/>
    <n v="9"/>
    <n v="107"/>
    <n v="970.91"/>
    <n v="919.96"/>
    <n v="98435.72"/>
    <n v="103887.37"/>
    <n v="-5451.6499999999942"/>
    <n v="-446.81836152699628"/>
    <n v="-5898.4683615269905"/>
    <n v="0"/>
    <n v="0"/>
    <n v="0"/>
    <n v="-5898.4683615269905"/>
  </r>
  <r>
    <x v="10"/>
    <d v="2023-12-05T00:00:00"/>
    <d v="2023-12-25T00:00:00"/>
    <x v="15"/>
    <n v="9"/>
    <n v="104"/>
    <n v="970.91"/>
    <n v="919.96"/>
    <n v="95675.839999999997"/>
    <n v="100974.64"/>
    <n v="-5298.8000000000029"/>
    <n v="-434.29074391408983"/>
    <n v="-5733.0907439140929"/>
    <n v="0"/>
    <n v="0"/>
    <n v="0"/>
    <n v="-5733.0907439140929"/>
  </r>
  <r>
    <x v="11"/>
    <d v="2024-01-03T00:00:00"/>
    <d v="2024-01-24T00:00:00"/>
    <x v="15"/>
    <n v="9"/>
    <n v="101"/>
    <n v="970.91"/>
    <n v="919.96"/>
    <n v="92915.96"/>
    <n v="98061.91"/>
    <n v="-5145.9499999999971"/>
    <n v="-421.76312630118343"/>
    <n v="-5567.7131263011806"/>
    <n v="0"/>
    <n v="0"/>
    <n v="0"/>
    <n v="-5567.71312630118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64" dataOnRows="1" applyNumberFormats="0" applyBorderFormats="0" applyFontFormats="0" applyPatternFormats="0" applyAlignmentFormats="0" applyWidthHeightFormats="1" dataCaption="Data" updatedVersion="8" minRefreshableVersion="3" asteriskTotals="1" showMemberPropertyTips="0" useAutoFormatting="1" itemPrintTitles="1" createdVersion="6" indent="0" compact="0" compactData="0" gridDropZones="1">
  <location ref="A3:O123" firstHeaderRow="1" firstDataRow="2" firstDataCol="2"/>
  <pivotFields count="17">
    <pivotField axis="axisCol" compact="0" numFmtId="17" outline="0" subtotalTop="0" showAll="0" includeNewItemsInFilter="1">
      <items count="169">
        <item m="1" x="69"/>
        <item m="1" x="93"/>
        <item m="1" x="117"/>
        <item m="1" x="141"/>
        <item m="1" x="165"/>
        <item m="1" x="45"/>
        <item m="1" x="80"/>
        <item m="1" x="104"/>
        <item m="1" x="128"/>
        <item m="1" x="152"/>
        <item m="1" x="32"/>
        <item m="1" x="56"/>
        <item m="1" x="70"/>
        <item m="1" x="94"/>
        <item m="1" x="118"/>
        <item m="1" x="142"/>
        <item m="1" x="166"/>
        <item m="1" x="46"/>
        <item m="1" x="82"/>
        <item m="1" x="106"/>
        <item m="1" x="130"/>
        <item m="1" x="154"/>
        <item m="1" x="34"/>
        <item m="1" x="58"/>
        <item m="1" x="71"/>
        <item m="1" x="95"/>
        <item m="1" x="119"/>
        <item m="1" x="143"/>
        <item m="1" x="167"/>
        <item m="1" x="47"/>
        <item m="1" x="83"/>
        <item m="1" x="107"/>
        <item m="1" x="131"/>
        <item m="1" x="155"/>
        <item m="1" x="35"/>
        <item m="1" x="59"/>
        <item m="1" x="72"/>
        <item m="1" x="96"/>
        <item m="1" x="120"/>
        <item m="1" x="144"/>
        <item m="1" x="24"/>
        <item m="1" x="48"/>
        <item m="1" x="84"/>
        <item m="1" x="108"/>
        <item m="1" x="132"/>
        <item m="1" x="156"/>
        <item m="1" x="36"/>
        <item m="1" x="60"/>
        <item m="1" x="73"/>
        <item m="1" x="97"/>
        <item m="1" x="121"/>
        <item m="1" x="145"/>
        <item m="1" x="25"/>
        <item m="1" x="49"/>
        <item m="1" x="85"/>
        <item m="1" x="109"/>
        <item m="1" x="133"/>
        <item m="1" x="157"/>
        <item m="1" x="37"/>
        <item m="1" x="61"/>
        <item m="1" x="74"/>
        <item m="1" x="98"/>
        <item m="1" x="122"/>
        <item m="1" x="146"/>
        <item m="1" x="26"/>
        <item m="1" x="50"/>
        <item m="1" x="86"/>
        <item m="1" x="110"/>
        <item m="1" x="134"/>
        <item m="1" x="158"/>
        <item m="1" x="38"/>
        <item m="1" x="62"/>
        <item m="1" x="75"/>
        <item m="1" x="99"/>
        <item m="1" x="123"/>
        <item m="1" x="147"/>
        <item m="1" x="27"/>
        <item m="1" x="51"/>
        <item m="1" x="87"/>
        <item m="1" x="111"/>
        <item m="1" x="135"/>
        <item m="1" x="159"/>
        <item m="1" x="39"/>
        <item m="1" x="63"/>
        <item m="1" x="76"/>
        <item m="1" x="100"/>
        <item m="1" x="124"/>
        <item m="1" x="148"/>
        <item m="1" x="28"/>
        <item m="1" x="52"/>
        <item m="1" x="88"/>
        <item m="1" x="112"/>
        <item m="1" x="136"/>
        <item m="1" x="160"/>
        <item m="1" x="40"/>
        <item m="1" x="64"/>
        <item m="1" x="77"/>
        <item m="1" x="101"/>
        <item m="1" x="125"/>
        <item m="1" x="149"/>
        <item m="1" x="29"/>
        <item m="1" x="53"/>
        <item m="1" x="89"/>
        <item m="1" x="113"/>
        <item m="1" x="137"/>
        <item m="1" x="161"/>
        <item m="1" x="41"/>
        <item m="1" x="65"/>
        <item m="1" x="78"/>
        <item m="1" x="102"/>
        <item m="1" x="126"/>
        <item m="1" x="150"/>
        <item m="1" x="30"/>
        <item m="1" x="54"/>
        <item m="1" x="90"/>
        <item m="1" x="114"/>
        <item m="1" x="138"/>
        <item m="1" x="162"/>
        <item m="1" x="42"/>
        <item m="1" x="66"/>
        <item m="1" x="79"/>
        <item m="1" x="103"/>
        <item m="1" x="127"/>
        <item m="1" x="151"/>
        <item m="1" x="31"/>
        <item m="1" x="55"/>
        <item m="1" x="91"/>
        <item m="1" x="115"/>
        <item m="1" x="139"/>
        <item m="1" x="163"/>
        <item m="1" x="43"/>
        <item m="1" x="67"/>
        <item m="1" x="81"/>
        <item m="1" x="105"/>
        <item m="1" x="129"/>
        <item m="1" x="153"/>
        <item m="1" x="33"/>
        <item m="1" x="57"/>
        <item m="1" x="92"/>
        <item m="1" x="116"/>
        <item m="1" x="140"/>
        <item m="1" x="164"/>
        <item m="1" x="44"/>
        <item m="1" x="68"/>
        <item m="1" x="12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numFmtId="14" outline="0" subtotalTop="0" showAll="0" includeNewItemsInFilter="1"/>
    <pivotField compact="0" numFmtId="14" outline="0" subtotalTop="0" showAll="0" includeNewItemsInFilter="1"/>
    <pivotField axis="axisRow" compact="0" outline="0" subtotalTop="0" showAll="0" includeNewItemsInFilter="1">
      <items count="23">
        <item x="3"/>
        <item m="1" x="16"/>
        <item x="15"/>
        <item x="8"/>
        <item x="9"/>
        <item m="1" x="17"/>
        <item x="10"/>
        <item m="1" x="18"/>
        <item x="7"/>
        <item x="6"/>
        <item m="1" x="20"/>
        <item x="0"/>
        <item x="1"/>
        <item m="1" x="19"/>
        <item x="5"/>
        <item m="1" x="21"/>
        <item x="11"/>
        <item x="12"/>
        <item x="13"/>
        <item x="14"/>
        <item x="2"/>
        <item x="4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numFmtId="164" outline="0" subtotalTop="0" showAll="0" includeNewItemsInFilter="1"/>
    <pivotField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dataField="1" compact="0" numFmtId="164" outline="0" subtotalTop="0" showAll="0" includeNewItemsInFilter="1"/>
    <pivotField compact="0" numFmtId="164" outline="0" showAll="0"/>
    <pivotField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 defaultSubtotal="0"/>
    <pivotField dataField="1" compact="0" numFmtId="164" outline="0" subtotalTop="0" showAll="0" includeNewItemsInFilter="1"/>
  </pivotFields>
  <rowFields count="2">
    <field x="3"/>
    <field x="-2"/>
  </rowFields>
  <rowItems count="119">
    <i>
      <x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3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2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4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6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7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8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19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0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>
      <x v="21"/>
      <x/>
    </i>
    <i r="1" i="1">
      <x v="1"/>
    </i>
    <i r="1" i="2">
      <x v="2"/>
    </i>
    <i r="1" i="3">
      <x v="3"/>
    </i>
    <i r="1" i="4">
      <x v="4"/>
    </i>
    <i r="1" i="5">
      <x v="5"/>
    </i>
    <i r="1" i="6">
      <x v="6"/>
    </i>
    <i t="grand">
      <x/>
    </i>
    <i t="grand" i="1">
      <x/>
    </i>
    <i t="grand" i="2">
      <x/>
    </i>
    <i t="grand" i="3">
      <x/>
    </i>
    <i t="grand" i="4">
      <x/>
    </i>
    <i t="grand" i="5">
      <x/>
    </i>
    <i t="grand" i="6">
      <x/>
    </i>
  </rowItems>
  <colFields count="1">
    <field x="0"/>
  </colFields>
  <colItems count="13"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 t="grand">
      <x/>
    </i>
  </colItems>
  <dataFields count="7">
    <dataField name="Sum of True-Up Charge" fld="8" baseField="0" baseItem="0"/>
    <dataField name="Sum of True-Up w/o Interest" fld="10" baseField="0" baseItem="0"/>
    <dataField name="Sum of Interest" fld="11" baseField="0" baseItem="0"/>
    <dataField name="Sum of Total True-up" fld="16" baseField="0" baseItem="0"/>
    <dataField name="Sum of Invoiced*** Charge (proj.)" fld="9" baseField="0" baseItem="0"/>
    <dataField name="Sum of Tax True Up Billing" fld="14" baseField="0" baseItem="0"/>
    <dataField name="Sum of Tax True Up" fld="15" baseField="0" baseItem="0"/>
  </dataFields>
  <formats count="171">
    <format dxfId="17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0"/>
          </reference>
        </references>
      </pivotArea>
    </format>
    <format dxfId="16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"/>
          </reference>
        </references>
      </pivotArea>
    </format>
    <format dxfId="16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2"/>
          </reference>
        </references>
      </pivotArea>
    </format>
    <format dxfId="16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3"/>
          </reference>
        </references>
      </pivotArea>
    </format>
    <format dxfId="16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4"/>
          </reference>
        </references>
      </pivotArea>
    </format>
    <format dxfId="164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5"/>
          </reference>
        </references>
      </pivotArea>
    </format>
    <format dxfId="163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6"/>
          </reference>
        </references>
      </pivotArea>
    </format>
    <format dxfId="162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7"/>
          </reference>
        </references>
      </pivotArea>
    </format>
    <format dxfId="161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8"/>
          </reference>
        </references>
      </pivotArea>
    </format>
    <format dxfId="160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9"/>
          </reference>
        </references>
      </pivotArea>
    </format>
    <format dxfId="159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0"/>
          </reference>
        </references>
      </pivotArea>
    </format>
    <format dxfId="158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1"/>
          </reference>
        </references>
      </pivotArea>
    </format>
    <format dxfId="157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2"/>
          </reference>
        </references>
      </pivotArea>
    </format>
    <format dxfId="156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3"/>
          </reference>
        </references>
      </pivotArea>
    </format>
    <format dxfId="155">
      <pivotArea outline="0" fieldPosition="0">
        <references count="2">
          <reference field="4294967294" count="3" selected="0">
            <x v="1"/>
            <x v="2"/>
            <x v="3"/>
          </reference>
          <reference field="3" count="1" selected="0">
            <x v="14"/>
          </reference>
        </references>
      </pivotArea>
    </format>
    <format dxfId="154">
      <pivotArea field="3" grandRow="1" outline="0" axis="axisRow" fieldPosition="0">
        <references count="1">
          <reference field="4294967294" count="3" selected="0">
            <x v="1"/>
            <x v="2"/>
            <x v="3"/>
          </reference>
        </references>
      </pivotArea>
    </format>
    <format dxfId="153">
      <pivotArea outline="0" fieldPosition="0">
        <references count="3">
          <reference field="4294967294" count="1" selected="0">
            <x v="2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2">
      <pivotArea outline="0" fieldPosition="0">
        <references count="3">
          <reference field="4294967294" count="1" selected="0">
            <x v="3"/>
          </reference>
          <reference field="0" count="1" selected="0">
            <x v="60"/>
          </reference>
          <reference field="3" count="1" selected="0">
            <x v="20"/>
          </reference>
        </references>
      </pivotArea>
    </format>
    <format dxfId="151">
      <pivotArea grandRow="1" grandCol="1" outline="0" fieldPosition="0">
        <references count="1">
          <reference field="4294967294" count="5" selected="0">
            <x v="0"/>
            <x v="1"/>
            <x v="2"/>
            <x v="3"/>
            <x v="4"/>
          </reference>
        </references>
      </pivotArea>
    </format>
    <format dxfId="150">
      <pivotArea outline="0" fieldPosition="0"/>
    </format>
    <format dxfId="149">
      <pivotArea type="all" dataOnly="0" outline="0" fieldPosition="0"/>
    </format>
    <format dxfId="148">
      <pivotArea outline="0" fieldPosition="0"/>
    </format>
    <format dxfId="147">
      <pivotArea type="origin" dataOnly="0" labelOnly="1" outline="0" fieldPosition="0"/>
    </format>
    <format dxfId="146">
      <pivotArea field="0" type="button" dataOnly="0" labelOnly="1" outline="0" axis="axisCol" fieldPosition="0"/>
    </format>
    <format dxfId="145">
      <pivotArea type="topRight" dataOnly="0" labelOnly="1" outline="0" fieldPosition="0"/>
    </format>
    <format dxfId="144">
      <pivotArea field="3" type="button" dataOnly="0" labelOnly="1" outline="0" axis="axisRow" fieldPosition="0"/>
    </format>
    <format dxfId="143">
      <pivotArea field="-2" type="button" dataOnly="0" labelOnly="1" outline="0" axis="axisRow" fieldPosition="1"/>
    </format>
    <format dxfId="142">
      <pivotArea dataOnly="0" labelOnly="1" outline="0" fieldPosition="0">
        <references count="1">
          <reference field="3" count="0"/>
        </references>
      </pivotArea>
    </format>
    <format dxfId="14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4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3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3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3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3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3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3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3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7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26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25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24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23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22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21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20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9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8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7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16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15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14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13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12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11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10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9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8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7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0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10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10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10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10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0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0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9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9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9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9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9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9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9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9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9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8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8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8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8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8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8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8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8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8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7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7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7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76">
      <pivotArea dataOnly="0" labelOnly="1" outline="0" fieldPosition="0">
        <references count="1">
          <reference field="0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fieldPosition="0"/>
    </format>
    <format dxfId="72">
      <pivotArea type="origin" dataOnly="0" labelOnly="1" outline="0" fieldPosition="0"/>
    </format>
    <format dxfId="71">
      <pivotArea field="0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field="-2" type="button" dataOnly="0" labelOnly="1" outline="0" axis="axisRow" fieldPosition="1"/>
    </format>
    <format dxfId="67">
      <pivotArea dataOnly="0" labelOnly="1" outline="0" fieldPosition="0">
        <references count="1">
          <reference field="3" count="0"/>
        </references>
      </pivotArea>
    </format>
    <format dxfId="66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65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64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63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62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61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60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9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8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7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56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55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54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53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52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51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50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9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8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7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46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45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44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43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42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41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40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9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8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7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36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35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34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33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32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31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30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9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7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26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25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24">
      <pivotArea field="3" dataOnly="0" labelOnly="1" grandRow="1" outline="0" axis="axisRow" fieldPosition="0">
        <references count="1">
          <reference field="4294967294" count="1" selected="0">
            <x v="0"/>
          </reference>
        </references>
      </pivotArea>
    </format>
    <format dxfId="23">
      <pivotArea field="3" dataOnly="0" labelOnly="1" grandRow="1" outline="0" axis="axisRow" fieldPosition="0">
        <references count="1">
          <reference field="4294967294" count="1" selected="0">
            <x v="1"/>
          </reference>
        </references>
      </pivotArea>
    </format>
    <format dxfId="22">
      <pivotArea field="3" dataOnly="0" labelOnly="1" grandRow="1" outline="0" axis="axisRow" fieldPosition="0">
        <references count="1">
          <reference field="4294967294" count="1" selected="0">
            <x v="2"/>
          </reference>
        </references>
      </pivotArea>
    </format>
    <format dxfId="21">
      <pivotArea field="3" dataOnly="0" labelOnly="1" grandRow="1" outline="0" axis="axisRow" fieldPosition="0">
        <references count="1">
          <reference field="4294967294" count="1" selected="0">
            <x v="3"/>
          </reference>
        </references>
      </pivotArea>
    </format>
    <format dxfId="20">
      <pivotArea field="3" dataOnly="0" labelOnly="1" grandRow="1" outline="0" axis="axisRow" fieldPosition="0">
        <references count="1">
          <reference field="4294967294" count="1" selected="0">
            <x v="4"/>
          </reference>
        </references>
      </pivotArea>
    </format>
    <format dxfId="19">
      <pivotArea field="3" dataOnly="0" labelOnly="1" grandRow="1" outline="0" axis="axisRow" fieldPosition="0">
        <references count="1">
          <reference field="4294967294" count="1" selected="0">
            <x v="5"/>
          </reference>
        </references>
      </pivotArea>
    </format>
    <format dxfId="18">
      <pivotArea field="3" dataOnly="0" labelOnly="1" grandRow="1" outline="0" axis="axisRow" fieldPosition="0">
        <references count="1">
          <reference field="4294967294" count="1" selected="0">
            <x v="6"/>
          </reference>
        </references>
      </pivotArea>
    </format>
    <format dxfId="1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0"/>
          </reference>
        </references>
      </pivotArea>
    </format>
    <format dxfId="1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"/>
          </reference>
        </references>
      </pivotArea>
    </format>
    <format dxfId="1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3"/>
          </reference>
        </references>
      </pivotArea>
    </format>
    <format dxfId="1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4"/>
          </reference>
        </references>
      </pivotArea>
    </format>
    <format dxfId="1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6"/>
          </reference>
        </references>
      </pivotArea>
    </format>
    <format dxfId="1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8"/>
          </reference>
        </references>
      </pivotArea>
    </format>
    <format dxfId="11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9"/>
          </reference>
        </references>
      </pivotArea>
    </format>
    <format dxfId="10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1"/>
          </reference>
        </references>
      </pivotArea>
    </format>
    <format dxfId="9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2"/>
          </reference>
        </references>
      </pivotArea>
    </format>
    <format dxfId="8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4"/>
          </reference>
        </references>
      </pivotArea>
    </format>
    <format dxfId="7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6"/>
          </reference>
        </references>
      </pivotArea>
    </format>
    <format dxfId="6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7"/>
          </reference>
        </references>
      </pivotArea>
    </format>
    <format dxfId="5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8"/>
          </reference>
        </references>
      </pivotArea>
    </format>
    <format dxfId="4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19"/>
          </reference>
        </references>
      </pivotArea>
    </format>
    <format dxfId="3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0"/>
          </reference>
        </references>
      </pivotArea>
    </format>
    <format dxfId="2">
      <pivotArea dataOnly="0" labelOnly="1" outline="0" fieldPosition="0">
        <references count="2">
          <reference field="4294967294" count="7">
            <x v="0"/>
            <x v="1"/>
            <x v="2"/>
            <x v="3"/>
            <x v="4"/>
            <x v="5"/>
            <x v="6"/>
          </reference>
          <reference field="3" count="1" selected="0">
            <x v="21"/>
          </reference>
        </references>
      </pivotArea>
    </format>
    <format dxfId="1">
      <pivotArea dataOnly="0" labelOnly="1" outline="0" fieldPosition="0">
        <references count="1">
          <reference field="0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17"/>
  <sheetViews>
    <sheetView workbookViewId="0">
      <selection sqref="A1:R19"/>
    </sheetView>
  </sheetViews>
  <sheetFormatPr defaultColWidth="8.7265625" defaultRowHeight="12.5" x14ac:dyDescent="0.25"/>
  <cols>
    <col min="1" max="16384" width="8.7265625" style="1"/>
  </cols>
  <sheetData>
    <row r="1" spans="1:2" x14ac:dyDescent="0.25">
      <c r="A1" s="1" t="s">
        <v>63</v>
      </c>
    </row>
    <row r="3" spans="1:2" x14ac:dyDescent="0.25">
      <c r="A3" s="2">
        <v>1</v>
      </c>
      <c r="B3" s="3" t="s">
        <v>65</v>
      </c>
    </row>
    <row r="4" spans="1:2" ht="13" x14ac:dyDescent="0.3">
      <c r="A4" s="2">
        <v>2</v>
      </c>
      <c r="B4" s="3" t="s">
        <v>64</v>
      </c>
    </row>
    <row r="5" spans="1:2" ht="13" x14ac:dyDescent="0.3">
      <c r="A5" s="2">
        <v>3</v>
      </c>
      <c r="B5" s="3" t="s">
        <v>66</v>
      </c>
    </row>
    <row r="6" spans="1:2" ht="13" x14ac:dyDescent="0.3">
      <c r="A6" s="2">
        <v>4</v>
      </c>
      <c r="B6" s="4" t="s">
        <v>80</v>
      </c>
    </row>
    <row r="7" spans="1:2" x14ac:dyDescent="0.25">
      <c r="A7" s="2">
        <v>5</v>
      </c>
      <c r="B7" s="3" t="s">
        <v>67</v>
      </c>
    </row>
    <row r="8" spans="1:2" x14ac:dyDescent="0.25">
      <c r="A8" s="2">
        <v>6</v>
      </c>
      <c r="B8" s="3" t="s">
        <v>68</v>
      </c>
    </row>
    <row r="9" spans="1:2" x14ac:dyDescent="0.25">
      <c r="A9" s="2">
        <v>7</v>
      </c>
      <c r="B9" s="5" t="s">
        <v>69</v>
      </c>
    </row>
    <row r="10" spans="1:2" ht="13" x14ac:dyDescent="0.3">
      <c r="A10" s="2">
        <v>8</v>
      </c>
      <c r="B10" s="3" t="s">
        <v>72</v>
      </c>
    </row>
    <row r="11" spans="1:2" x14ac:dyDescent="0.25">
      <c r="A11" s="2"/>
      <c r="B11" s="3" t="s">
        <v>73</v>
      </c>
    </row>
    <row r="12" spans="1:2" x14ac:dyDescent="0.25">
      <c r="A12" s="2"/>
      <c r="B12" s="5" t="s">
        <v>74</v>
      </c>
    </row>
    <row r="13" spans="1:2" x14ac:dyDescent="0.25">
      <c r="A13" s="2"/>
      <c r="B13" s="5" t="s">
        <v>75</v>
      </c>
    </row>
    <row r="14" spans="1:2" x14ac:dyDescent="0.25">
      <c r="A14" s="2">
        <v>9</v>
      </c>
      <c r="B14" s="3" t="s">
        <v>76</v>
      </c>
    </row>
    <row r="15" spans="1:2" x14ac:dyDescent="0.25">
      <c r="A15" s="2">
        <v>10</v>
      </c>
      <c r="B15" s="3" t="s">
        <v>78</v>
      </c>
    </row>
    <row r="16" spans="1:2" x14ac:dyDescent="0.25">
      <c r="A16" s="2">
        <v>11</v>
      </c>
      <c r="B16" s="3" t="s">
        <v>79</v>
      </c>
    </row>
    <row r="17" spans="1:1" x14ac:dyDescent="0.25">
      <c r="A17" s="2"/>
    </row>
  </sheetData>
  <phoneticPr fontId="6" type="noConversion"/>
  <pageMargins left="0.75" right="0.75" top="1" bottom="1" header="0.5" footer="0.5"/>
  <pageSetup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6150B-EB8C-4DB7-9DF4-724F833580F1}">
  <dimension ref="A1:E22"/>
  <sheetViews>
    <sheetView workbookViewId="0">
      <selection activeCell="B2" sqref="B2"/>
    </sheetView>
  </sheetViews>
  <sheetFormatPr defaultRowHeight="12.5" x14ac:dyDescent="0.25"/>
  <cols>
    <col min="1" max="1" width="51.6328125" style="234" bestFit="1" customWidth="1"/>
    <col min="2" max="2" width="13.08984375" style="234" customWidth="1"/>
    <col min="3" max="3" width="14.1796875" style="234" bestFit="1" customWidth="1"/>
    <col min="4" max="4" width="12.7265625" style="234" bestFit="1" customWidth="1"/>
    <col min="5" max="5" width="10.54296875" style="234" bestFit="1" customWidth="1"/>
    <col min="6" max="16384" width="8.7265625" style="234"/>
  </cols>
  <sheetData>
    <row r="1" spans="1:5" x14ac:dyDescent="0.25">
      <c r="C1" s="234" t="s">
        <v>21</v>
      </c>
      <c r="D1" s="234" t="s">
        <v>22</v>
      </c>
      <c r="E1" s="234" t="s">
        <v>99</v>
      </c>
    </row>
    <row r="2" spans="1:5" ht="25" x14ac:dyDescent="0.25">
      <c r="A2" s="234" t="s">
        <v>100</v>
      </c>
      <c r="B2" s="252" t="s">
        <v>102</v>
      </c>
      <c r="C2" s="235">
        <v>4502576.1226782044</v>
      </c>
      <c r="D2" s="235">
        <v>6855834.0921565611</v>
      </c>
      <c r="E2" s="236">
        <f>C2+D2</f>
        <v>11358410.214834765</v>
      </c>
    </row>
    <row r="3" spans="1:5" ht="13" thickBot="1" x14ac:dyDescent="0.3"/>
    <row r="4" spans="1:5" x14ac:dyDescent="0.25">
      <c r="A4" s="237" t="s">
        <v>14</v>
      </c>
      <c r="B4" s="238">
        <f>0.074+0.018</f>
        <v>9.1999999999999998E-2</v>
      </c>
      <c r="C4" s="236">
        <f>$C$2*B4</f>
        <v>414237.00328639481</v>
      </c>
      <c r="D4" s="236">
        <f>$D$2*B4</f>
        <v>630736.73647840356</v>
      </c>
      <c r="E4" s="236">
        <f t="shared" ref="E4:E20" si="0">C4+D4</f>
        <v>1044973.7397647984</v>
      </c>
    </row>
    <row r="5" spans="1:5" x14ac:dyDescent="0.25">
      <c r="A5" s="239" t="s">
        <v>83</v>
      </c>
      <c r="B5" s="240">
        <v>5.0000000000000001E-3</v>
      </c>
      <c r="C5" s="236">
        <f t="shared" ref="C5:C16" si="1">$C$2*B5</f>
        <v>22512.880613391022</v>
      </c>
      <c r="D5" s="236">
        <f t="shared" ref="D5:D16" si="2">$D$2*B5</f>
        <v>34279.170460782807</v>
      </c>
      <c r="E5" s="236">
        <f t="shared" si="0"/>
        <v>56792.051074173825</v>
      </c>
    </row>
    <row r="6" spans="1:5" x14ac:dyDescent="0.25">
      <c r="A6" s="239" t="s">
        <v>54</v>
      </c>
      <c r="B6" s="240">
        <v>1.4999999999999999E-2</v>
      </c>
      <c r="C6" s="236">
        <f t="shared" si="1"/>
        <v>67538.641840173063</v>
      </c>
      <c r="D6" s="236">
        <f t="shared" si="2"/>
        <v>102837.51138234841</v>
      </c>
      <c r="E6" s="236">
        <f t="shared" si="0"/>
        <v>170376.15322252148</v>
      </c>
    </row>
    <row r="7" spans="1:5" x14ac:dyDescent="0.25">
      <c r="A7" s="241" t="s">
        <v>17</v>
      </c>
      <c r="B7" s="238">
        <v>1.2999999999999999E-2</v>
      </c>
      <c r="C7" s="236">
        <f t="shared" si="1"/>
        <v>58533.489594816652</v>
      </c>
      <c r="D7" s="236">
        <f t="shared" si="2"/>
        <v>89125.843198035291</v>
      </c>
      <c r="E7" s="236">
        <f t="shared" si="0"/>
        <v>147659.33279285196</v>
      </c>
    </row>
    <row r="8" spans="1:5" x14ac:dyDescent="0.25">
      <c r="A8" s="239" t="s">
        <v>13</v>
      </c>
      <c r="B8" s="240">
        <v>0.10199999999999999</v>
      </c>
      <c r="C8" s="236">
        <f t="shared" si="1"/>
        <v>459262.76451317681</v>
      </c>
      <c r="D8" s="236">
        <f t="shared" si="2"/>
        <v>699295.07739996922</v>
      </c>
      <c r="E8" s="236">
        <f t="shared" si="0"/>
        <v>1158557.841913146</v>
      </c>
    </row>
    <row r="9" spans="1:5" x14ac:dyDescent="0.25">
      <c r="A9" s="241" t="s">
        <v>15</v>
      </c>
      <c r="B9" s="238">
        <v>1E-3</v>
      </c>
      <c r="C9" s="236">
        <f t="shared" si="1"/>
        <v>4502.5761226782042</v>
      </c>
      <c r="D9" s="236">
        <f t="shared" si="2"/>
        <v>6855.8340921565614</v>
      </c>
      <c r="E9" s="236">
        <f t="shared" si="0"/>
        <v>11358.410214834767</v>
      </c>
    </row>
    <row r="10" spans="1:5" x14ac:dyDescent="0.25">
      <c r="A10" s="241" t="s">
        <v>57</v>
      </c>
      <c r="B10" s="238">
        <v>5.0000000000000001E-3</v>
      </c>
      <c r="C10" s="236">
        <f t="shared" si="1"/>
        <v>22512.880613391022</v>
      </c>
      <c r="D10" s="236">
        <f t="shared" si="2"/>
        <v>34279.170460782807</v>
      </c>
      <c r="E10" s="236">
        <f t="shared" si="0"/>
        <v>56792.051074173825</v>
      </c>
    </row>
    <row r="11" spans="1:5" x14ac:dyDescent="0.25">
      <c r="A11" s="241" t="s">
        <v>16</v>
      </c>
      <c r="B11" s="238">
        <v>0</v>
      </c>
      <c r="C11" s="236">
        <f t="shared" si="1"/>
        <v>0</v>
      </c>
      <c r="D11" s="236">
        <f t="shared" si="2"/>
        <v>0</v>
      </c>
      <c r="E11" s="236">
        <f t="shared" si="0"/>
        <v>0</v>
      </c>
    </row>
    <row r="12" spans="1:5" x14ac:dyDescent="0.25">
      <c r="A12" s="239" t="s">
        <v>56</v>
      </c>
      <c r="B12" s="240">
        <v>3.0000000000000001E-3</v>
      </c>
      <c r="C12" s="236">
        <f t="shared" si="1"/>
        <v>13507.728368034614</v>
      </c>
      <c r="D12" s="236">
        <f t="shared" si="2"/>
        <v>20567.502276469684</v>
      </c>
      <c r="E12" s="236">
        <f t="shared" si="0"/>
        <v>34075.2306445043</v>
      </c>
    </row>
    <row r="13" spans="1:5" x14ac:dyDescent="0.25">
      <c r="A13" s="239" t="s">
        <v>19</v>
      </c>
      <c r="B13" s="240">
        <f>0.003+0.002</f>
        <v>5.0000000000000001E-3</v>
      </c>
      <c r="C13" s="236">
        <f t="shared" si="1"/>
        <v>22512.880613391022</v>
      </c>
      <c r="D13" s="236">
        <f t="shared" si="2"/>
        <v>34279.170460782807</v>
      </c>
      <c r="E13" s="236">
        <f t="shared" si="0"/>
        <v>56792.051074173825</v>
      </c>
    </row>
    <row r="14" spans="1:5" x14ac:dyDescent="0.25">
      <c r="A14" s="241" t="s">
        <v>8</v>
      </c>
      <c r="B14" s="238">
        <v>1.2999999999999999E-2</v>
      </c>
      <c r="C14" s="236">
        <f t="shared" si="1"/>
        <v>58533.489594816652</v>
      </c>
      <c r="D14" s="236">
        <f t="shared" si="2"/>
        <v>89125.843198035291</v>
      </c>
      <c r="E14" s="236">
        <f t="shared" si="0"/>
        <v>147659.33279285196</v>
      </c>
    </row>
    <row r="15" spans="1:5" x14ac:dyDescent="0.25">
      <c r="A15" s="241" t="s">
        <v>55</v>
      </c>
      <c r="B15" s="238">
        <v>1E-3</v>
      </c>
      <c r="C15" s="236">
        <f t="shared" si="1"/>
        <v>4502.5761226782042</v>
      </c>
      <c r="D15" s="236">
        <f t="shared" si="2"/>
        <v>6855.8340921565614</v>
      </c>
      <c r="E15" s="236">
        <f t="shared" si="0"/>
        <v>11358.410214834767</v>
      </c>
    </row>
    <row r="16" spans="1:5" x14ac:dyDescent="0.25">
      <c r="A16" s="242" t="s">
        <v>9</v>
      </c>
      <c r="B16" s="238">
        <v>5.0000000000000001E-3</v>
      </c>
      <c r="C16" s="236">
        <f t="shared" si="1"/>
        <v>22512.880613391022</v>
      </c>
      <c r="D16" s="236">
        <f t="shared" si="2"/>
        <v>34279.170460782807</v>
      </c>
      <c r="E16" s="236">
        <f t="shared" si="0"/>
        <v>56792.051074173825</v>
      </c>
    </row>
    <row r="17" spans="1:5" ht="23" x14ac:dyDescent="0.25">
      <c r="A17" s="243" t="s">
        <v>43</v>
      </c>
      <c r="B17" s="244"/>
      <c r="C17" s="245">
        <f>SUM(C4:C16)</f>
        <v>1170669.791896333</v>
      </c>
      <c r="D17" s="245">
        <f>SUM(D4:D16)</f>
        <v>1782516.8639607055</v>
      </c>
      <c r="E17" s="245">
        <f>SUM(E4:E16)</f>
        <v>2953186.6558570387</v>
      </c>
    </row>
    <row r="18" spans="1:5" x14ac:dyDescent="0.25">
      <c r="A18" s="246" t="s">
        <v>21</v>
      </c>
      <c r="B18" s="240">
        <v>0.37</v>
      </c>
      <c r="C18" s="236">
        <f>$C$2*B18</f>
        <v>1665953.1653909357</v>
      </c>
      <c r="D18" s="236">
        <f>$D$2*B18</f>
        <v>2536658.6140979277</v>
      </c>
      <c r="E18" s="236">
        <f t="shared" si="0"/>
        <v>4202611.7794888634</v>
      </c>
    </row>
    <row r="19" spans="1:5" x14ac:dyDescent="0.25">
      <c r="A19" s="241" t="s">
        <v>22</v>
      </c>
      <c r="B19" s="238">
        <v>0.35399999999999998</v>
      </c>
      <c r="C19" s="236">
        <f t="shared" ref="C19:C20" si="3">$C$2*B19</f>
        <v>1593911.9474280842</v>
      </c>
      <c r="D19" s="236">
        <f t="shared" ref="D19:D20" si="4">$D$2*B19</f>
        <v>2426965.2686234224</v>
      </c>
      <c r="E19" s="236">
        <f t="shared" si="0"/>
        <v>4020877.2160515068</v>
      </c>
    </row>
    <row r="20" spans="1:5" x14ac:dyDescent="0.25">
      <c r="A20" s="242" t="s">
        <v>81</v>
      </c>
      <c r="B20" s="238">
        <v>1.6E-2</v>
      </c>
      <c r="C20" s="236">
        <f t="shared" si="3"/>
        <v>72041.217962851268</v>
      </c>
      <c r="D20" s="236">
        <f t="shared" si="4"/>
        <v>109693.34547450498</v>
      </c>
      <c r="E20" s="236">
        <f t="shared" si="0"/>
        <v>181734.56343735626</v>
      </c>
    </row>
    <row r="21" spans="1:5" ht="23" x14ac:dyDescent="0.25">
      <c r="A21" s="243" t="s">
        <v>51</v>
      </c>
      <c r="B21" s="247"/>
      <c r="C21" s="248">
        <f>SUM(C18:C20)</f>
        <v>3331906.330781871</v>
      </c>
      <c r="D21" s="248">
        <f>SUM(D18:D20)</f>
        <v>5073317.2281958545</v>
      </c>
      <c r="E21" s="248">
        <f>SUM(E18:E20)</f>
        <v>8405223.5589777268</v>
      </c>
    </row>
    <row r="22" spans="1:5" ht="13" thickBot="1" x14ac:dyDescent="0.3">
      <c r="A22" s="249" t="s">
        <v>44</v>
      </c>
      <c r="B22" s="250"/>
      <c r="C22" s="236">
        <f>C17+C21</f>
        <v>4502576.1226782035</v>
      </c>
      <c r="D22" s="236">
        <f>D17+D21</f>
        <v>6855834.0921565602</v>
      </c>
      <c r="E22" s="236">
        <f>E17+E21</f>
        <v>11358410.214834765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42"/>
  <sheetViews>
    <sheetView tabSelected="1" topLeftCell="A14" zoomScale="85" zoomScaleNormal="85" zoomScaleSheetLayoutView="100" workbookViewId="0">
      <selection activeCell="F39" sqref="F39:H39"/>
    </sheetView>
  </sheetViews>
  <sheetFormatPr defaultColWidth="33.26953125" defaultRowHeight="12.5" x14ac:dyDescent="0.25"/>
  <cols>
    <col min="1" max="1" width="9.1796875" style="1" customWidth="1"/>
    <col min="2" max="2" width="14" style="1" customWidth="1"/>
    <col min="3" max="3" width="21.81640625" style="1" customWidth="1"/>
    <col min="4" max="4" width="15.54296875" style="1" customWidth="1"/>
    <col min="5" max="8" width="14" style="1" customWidth="1"/>
    <col min="9" max="9" width="14.81640625" style="1" customWidth="1"/>
    <col min="10" max="14" width="14" style="1" customWidth="1"/>
    <col min="15" max="15" width="15" style="1" customWidth="1"/>
    <col min="16" max="108" width="31.7265625" style="1" customWidth="1"/>
    <col min="109" max="109" width="11.453125" style="1" customWidth="1"/>
    <col min="110" max="16384" width="33.26953125" style="1"/>
  </cols>
  <sheetData>
    <row r="1" spans="2:17" ht="13" x14ac:dyDescent="0.3">
      <c r="C1" s="261" t="str">
        <f>+Transactions!B1</f>
        <v>AEPTCo Formula Rate -- FERC Docket ER18-195</v>
      </c>
      <c r="D1" s="261"/>
      <c r="E1" s="261"/>
      <c r="F1" s="261"/>
      <c r="G1" s="261"/>
      <c r="H1" s="261"/>
      <c r="I1" s="261"/>
      <c r="J1" s="6">
        <v>2023</v>
      </c>
    </row>
    <row r="2" spans="2:17" ht="13" x14ac:dyDescent="0.3">
      <c r="C2" s="261" t="s">
        <v>36</v>
      </c>
      <c r="D2" s="261"/>
      <c r="E2" s="261"/>
      <c r="F2" s="261"/>
      <c r="G2" s="261"/>
      <c r="H2" s="261"/>
      <c r="I2" s="261"/>
    </row>
    <row r="3" spans="2:17" ht="13" x14ac:dyDescent="0.3">
      <c r="C3" s="261" t="str">
        <f>"for period 01/01/"&amp;F8&amp;" - 12/31/"&amp;F8</f>
        <v>for period 01/01/2023 - 12/31/2023</v>
      </c>
      <c r="D3" s="261"/>
      <c r="E3" s="261"/>
      <c r="F3" s="261"/>
      <c r="G3" s="261"/>
      <c r="H3" s="261"/>
      <c r="I3" s="261"/>
    </row>
    <row r="4" spans="2:17" ht="13" x14ac:dyDescent="0.3">
      <c r="C4" s="261" t="s">
        <v>94</v>
      </c>
      <c r="D4" s="261"/>
      <c r="E4" s="261"/>
      <c r="F4" s="261"/>
      <c r="G4" s="261"/>
      <c r="H4" s="261"/>
      <c r="I4" s="261"/>
    </row>
    <row r="5" spans="2:17" x14ac:dyDescent="0.25">
      <c r="C5" s="7" t="str">
        <f>"Prepared:  May 24_, "&amp;J1+1&amp;""</f>
        <v>Prepared:  May 24_, 2024</v>
      </c>
      <c r="D5" s="8"/>
    </row>
    <row r="6" spans="2:17" x14ac:dyDescent="0.25">
      <c r="C6" s="9"/>
    </row>
    <row r="7" spans="2:17" ht="13" x14ac:dyDescent="0.3">
      <c r="C7" s="10"/>
    </row>
    <row r="8" spans="2:17" ht="27.75" customHeight="1" thickBot="1" x14ac:dyDescent="0.3">
      <c r="F8" s="11">
        <v>2023</v>
      </c>
    </row>
    <row r="9" spans="2:17" ht="20.25" customHeight="1" x14ac:dyDescent="0.3">
      <c r="E9" s="12" t="s">
        <v>93</v>
      </c>
      <c r="F9" s="13"/>
      <c r="G9" s="14"/>
      <c r="H9" s="15"/>
      <c r="J9" s="2"/>
    </row>
    <row r="10" spans="2:17" ht="42" customHeight="1" thickBot="1" x14ac:dyDescent="0.3">
      <c r="B10" s="16"/>
      <c r="E10" s="17" t="str">
        <f>"(per "&amp;$F8&amp;" Projections "&amp;$F8&amp;")"</f>
        <v>(per 2023 Projections 2023)</v>
      </c>
      <c r="F10" s="18" t="str">
        <f>"(per "&amp;F8+1&amp;" Update of May "&amp;F8+1&amp;")"</f>
        <v>(per 2024 Update of May 2024)</v>
      </c>
      <c r="G10" s="19"/>
      <c r="H10" s="20"/>
    </row>
    <row r="11" spans="2:17" ht="21.75" customHeight="1" x14ac:dyDescent="0.25">
      <c r="B11" s="21"/>
      <c r="C11" s="22" t="s">
        <v>39</v>
      </c>
      <c r="D11" s="23" t="s">
        <v>37</v>
      </c>
      <c r="E11" s="24">
        <f>Transactions!K2</f>
        <v>106246272.33477446</v>
      </c>
      <c r="F11" s="25"/>
      <c r="G11" s="26"/>
      <c r="H11" s="27"/>
    </row>
    <row r="12" spans="2:17" ht="21.75" customHeight="1" x14ac:dyDescent="0.25">
      <c r="B12" s="21"/>
      <c r="C12" s="28"/>
      <c r="D12" s="29" t="s">
        <v>42</v>
      </c>
      <c r="E12" s="30"/>
      <c r="F12" s="31">
        <f>+Transactions!J2</f>
        <v>93999830.491279602</v>
      </c>
      <c r="G12" s="32"/>
      <c r="H12" s="33"/>
    </row>
    <row r="13" spans="2:17" ht="21.75" customHeight="1" x14ac:dyDescent="0.25">
      <c r="B13" s="34"/>
      <c r="C13" s="35" t="s">
        <v>40</v>
      </c>
      <c r="D13" s="36" t="s">
        <v>38</v>
      </c>
      <c r="E13" s="37">
        <f>Transactions!K3</f>
        <v>970.91</v>
      </c>
      <c r="F13" s="33"/>
      <c r="G13" s="38"/>
      <c r="H13" s="39"/>
    </row>
    <row r="14" spans="2:17" ht="21.75" customHeight="1" thickBot="1" x14ac:dyDescent="0.3">
      <c r="B14" s="16"/>
      <c r="C14" s="40"/>
      <c r="D14" s="41" t="s">
        <v>41</v>
      </c>
      <c r="E14" s="42"/>
      <c r="F14" s="43">
        <f>+Transactions!J3</f>
        <v>919.96</v>
      </c>
      <c r="G14" s="44"/>
      <c r="H14" s="33"/>
    </row>
    <row r="15" spans="2:17" x14ac:dyDescent="0.25">
      <c r="B15" s="21"/>
      <c r="E15" s="45"/>
    </row>
    <row r="16" spans="2:17" ht="13" x14ac:dyDescent="0.3">
      <c r="B16" s="34"/>
      <c r="C16" s="34"/>
      <c r="D16" s="46"/>
      <c r="E16" s="34"/>
      <c r="F16" s="47"/>
      <c r="G16" s="48"/>
      <c r="H16" s="48"/>
      <c r="J16" s="45"/>
      <c r="L16" s="50"/>
      <c r="M16" s="51"/>
      <c r="N16" s="51"/>
      <c r="O16" s="51"/>
      <c r="P16" s="51"/>
      <c r="Q16" s="51"/>
    </row>
    <row r="17" spans="2:17" ht="13" x14ac:dyDescent="0.3">
      <c r="C17" s="10"/>
      <c r="L17" s="52"/>
      <c r="M17" s="51"/>
      <c r="N17" s="51"/>
      <c r="O17" s="51"/>
      <c r="P17" s="51"/>
      <c r="Q17" s="51"/>
    </row>
    <row r="18" spans="2:17" x14ac:dyDescent="0.25">
      <c r="C18" s="50"/>
      <c r="D18" s="50"/>
      <c r="E18" s="50"/>
      <c r="F18" s="50"/>
      <c r="G18" s="50"/>
      <c r="H18" s="50"/>
      <c r="I18" s="50"/>
      <c r="L18" s="50"/>
      <c r="M18" s="51"/>
      <c r="N18" s="51"/>
      <c r="O18" s="51"/>
      <c r="P18" s="51"/>
      <c r="Q18" s="51"/>
    </row>
    <row r="19" spans="2:17" ht="21" customHeight="1" thickBot="1" x14ac:dyDescent="0.3">
      <c r="C19" s="53" t="s">
        <v>31</v>
      </c>
      <c r="D19" s="53" t="s">
        <v>32</v>
      </c>
      <c r="E19" s="54" t="s">
        <v>33</v>
      </c>
      <c r="F19" s="54" t="s">
        <v>34</v>
      </c>
      <c r="G19" s="53" t="s">
        <v>35</v>
      </c>
      <c r="H19" s="53" t="s">
        <v>92</v>
      </c>
      <c r="I19" s="54" t="s">
        <v>91</v>
      </c>
      <c r="L19" s="50"/>
      <c r="M19" s="51"/>
      <c r="N19" s="51"/>
      <c r="O19" s="51"/>
      <c r="P19" s="51"/>
      <c r="Q19" s="51"/>
    </row>
    <row r="20" spans="2:17" ht="53.25" customHeight="1" x14ac:dyDescent="0.25">
      <c r="C20" s="55" t="s">
        <v>50</v>
      </c>
      <c r="D20" s="56" t="str">
        <f>"Actual Charge
("&amp;F8&amp;" True-Up)"</f>
        <v>Actual Charge
(2023 True-Up)</v>
      </c>
      <c r="E20" s="57" t="str">
        <f>"Invoiced for
CY"&amp;F8&amp;" Transmission Service"</f>
        <v>Invoiced for
CY2023 Transmission Service</v>
      </c>
      <c r="F20" s="56" t="s">
        <v>96</v>
      </c>
      <c r="G20" s="58" t="s">
        <v>97</v>
      </c>
      <c r="H20" s="251" t="s">
        <v>101</v>
      </c>
      <c r="I20" s="59" t="s">
        <v>98</v>
      </c>
      <c r="L20" s="50"/>
      <c r="M20" s="51"/>
      <c r="N20" s="51"/>
      <c r="O20" s="51"/>
      <c r="P20" s="51"/>
      <c r="Q20" s="51"/>
    </row>
    <row r="21" spans="2:17" x14ac:dyDescent="0.25">
      <c r="B21" s="60"/>
      <c r="C21" s="61" t="s">
        <v>14</v>
      </c>
      <c r="D21" s="62">
        <f>GETPIVOTDATA("Sum of "&amp;T(Transactions!$J$19),Pivot!$A$3,"Customer",C21)</f>
        <v>8790217.8000000007</v>
      </c>
      <c r="E21" s="62">
        <f>GETPIVOTDATA("Sum of "&amp;T(Transactions!$K$19),Pivot!$A$3,"Customer",C21)</f>
        <v>9277045.0499999989</v>
      </c>
      <c r="F21" s="62">
        <f>D21-E21</f>
        <v>-486827.24999999814</v>
      </c>
      <c r="G21" s="51">
        <f>(+GETPIVOTDATA("Sum of "&amp;T(Transactions!$M$19),Pivot!$A$3,"Customer","AECC"))</f>
        <v>-39900.462097107011</v>
      </c>
      <c r="H21" s="51">
        <f>-'2021 NOLC Refund Detail'!C4</f>
        <v>-414237.00328639481</v>
      </c>
      <c r="I21" s="63">
        <f>F21+G21+H21</f>
        <v>-940964.71538349986</v>
      </c>
      <c r="J21" s="60"/>
      <c r="L21" s="50"/>
      <c r="M21" s="51"/>
      <c r="N21" s="51"/>
      <c r="O21" s="51"/>
      <c r="P21" s="51"/>
      <c r="Q21" s="51"/>
    </row>
    <row r="22" spans="2:17" x14ac:dyDescent="0.25">
      <c r="B22" s="60"/>
      <c r="C22" s="64" t="s">
        <v>83</v>
      </c>
      <c r="D22" s="62">
        <f>GETPIVOTDATA("Sum of "&amp;T(Transactions!$J$19),Pivot!$A$3,"Customer",C22)</f>
        <v>482979.00000000006</v>
      </c>
      <c r="E22" s="62">
        <f>GETPIVOTDATA("Sum of "&amp;T(Transactions!$K$19),Pivot!$A$3,"Customer",C22)</f>
        <v>509727.75</v>
      </c>
      <c r="F22" s="62">
        <f>D22-E22</f>
        <v>-26748.749999999942</v>
      </c>
      <c r="G22" s="51">
        <f>(+GETPIVOTDATA("Sum of "&amp;T(Transactions!$M$19),Pivot!$A$3,"Customer","AECI"))</f>
        <v>-2192.3330822586267</v>
      </c>
      <c r="H22" s="51">
        <f>-'2021 NOLC Refund Detail'!C5</f>
        <v>-22512.880613391022</v>
      </c>
      <c r="I22" s="63">
        <f t="shared" ref="I22:I33" si="0">F22+G22+H22</f>
        <v>-51453.963695649596</v>
      </c>
      <c r="J22" s="60"/>
      <c r="L22" s="50"/>
      <c r="M22" s="51"/>
      <c r="N22" s="51"/>
      <c r="O22" s="51"/>
      <c r="P22" s="51"/>
      <c r="Q22" s="51"/>
    </row>
    <row r="23" spans="2:17" x14ac:dyDescent="0.25">
      <c r="B23" s="60"/>
      <c r="C23" s="64" t="s">
        <v>54</v>
      </c>
      <c r="D23" s="62">
        <f>GETPIVOTDATA("Sum of "&amp;T(Transactions!$J$19),Pivot!$A$3,"Customer",C23)</f>
        <v>1395579.32</v>
      </c>
      <c r="E23" s="62">
        <f>GETPIVOTDATA("Sum of "&amp;T(Transactions!$K$19),Pivot!$A$3,"Customer",C23)</f>
        <v>1472870.47</v>
      </c>
      <c r="F23" s="62">
        <f t="shared" ref="F23:F35" si="1">D23-E23</f>
        <v>-77291.149999999907</v>
      </c>
      <c r="G23" s="51">
        <f>(+GETPIVOTDATA("Sum of "&amp;T(Transactions!$M$19),Pivot!$A$3,"Customer","Bentonville, AR"))</f>
        <v>-6334.798639593022</v>
      </c>
      <c r="H23" s="51">
        <f>-'2021 NOLC Refund Detail'!C6</f>
        <v>-67538.641840173063</v>
      </c>
      <c r="I23" s="63">
        <f t="shared" si="0"/>
        <v>-151164.59047976599</v>
      </c>
      <c r="J23" s="60"/>
      <c r="L23" s="50"/>
      <c r="M23" s="51"/>
      <c r="N23" s="51"/>
      <c r="O23" s="51"/>
      <c r="P23" s="51"/>
      <c r="Q23" s="51"/>
    </row>
    <row r="24" spans="2:17" x14ac:dyDescent="0.25">
      <c r="B24" s="60"/>
      <c r="C24" s="61" t="s">
        <v>17</v>
      </c>
      <c r="D24" s="62">
        <f>GETPIVOTDATA("Sum of "&amp;T(Transactions!$J$19),Pivot!$A$3,"Customer",C24)</f>
        <v>1172949</v>
      </c>
      <c r="E24" s="62">
        <f>GETPIVOTDATA("Sum of "&amp;T(Transactions!$K$19),Pivot!$A$3,"Customer",C24)</f>
        <v>1237910.2499999998</v>
      </c>
      <c r="F24" s="62">
        <f t="shared" si="1"/>
        <v>-64961.249999999767</v>
      </c>
      <c r="G24" s="51">
        <f>(+GETPIVOTDATA("Sum of "&amp;T(Transactions!$M$19),Pivot!$A$3,"Customer","Coffeyville, KS"))</f>
        <v>-5324.2374854852369</v>
      </c>
      <c r="H24" s="51">
        <f>-'2021 NOLC Refund Detail'!C7</f>
        <v>-58533.489594816652</v>
      </c>
      <c r="I24" s="63">
        <f t="shared" si="0"/>
        <v>-128818.97708030166</v>
      </c>
      <c r="J24" s="60"/>
      <c r="L24" s="50"/>
      <c r="M24" s="51"/>
      <c r="N24" s="51"/>
      <c r="O24" s="51"/>
      <c r="P24" s="51"/>
      <c r="Q24" s="51"/>
    </row>
    <row r="25" spans="2:17" x14ac:dyDescent="0.25">
      <c r="B25" s="60"/>
      <c r="C25" s="64" t="s">
        <v>13</v>
      </c>
      <c r="D25" s="62">
        <f>GETPIVOTDATA("Sum of "&amp;T(Transactions!$J$19),Pivot!$A$3,"Customer",C25)</f>
        <v>9583223.3199999984</v>
      </c>
      <c r="E25" s="62">
        <f>GETPIVOTDATA("Sum of "&amp;T(Transactions!$K$19),Pivot!$A$3,"Customer",C25)</f>
        <v>10113969.470000001</v>
      </c>
      <c r="F25" s="62">
        <f t="shared" si="1"/>
        <v>-530746.15000000224</v>
      </c>
      <c r="G25" s="51">
        <f>(+GETPIVOTDATA("Sum of "&amp;T(Transactions!$M$19),Pivot!$A$3,"Customer","ETEC"))</f>
        <v>-43500.064224548798</v>
      </c>
      <c r="H25" s="51">
        <f>-'2021 NOLC Refund Detail'!C8</f>
        <v>-459262.76451317681</v>
      </c>
      <c r="I25" s="63">
        <f t="shared" si="0"/>
        <v>-1033508.9787377277</v>
      </c>
      <c r="J25" s="60"/>
      <c r="L25" s="52"/>
      <c r="M25" s="51"/>
      <c r="N25" s="51"/>
      <c r="O25" s="51"/>
      <c r="P25" s="51"/>
      <c r="Q25" s="51"/>
    </row>
    <row r="26" spans="2:17" x14ac:dyDescent="0.25">
      <c r="B26" s="60"/>
      <c r="C26" s="61" t="s">
        <v>15</v>
      </c>
      <c r="D26" s="62">
        <f>GETPIVOTDATA("Sum of "&amp;T(Transactions!$J$19),Pivot!$A$3,"Customer",C26)</f>
        <v>99355.68</v>
      </c>
      <c r="E26" s="62">
        <f>GETPIVOTDATA("Sum of "&amp;T(Transactions!$K$19),Pivot!$A$3,"Customer",C26)</f>
        <v>104858.28000000001</v>
      </c>
      <c r="F26" s="62">
        <f t="shared" si="1"/>
        <v>-5502.6000000000204</v>
      </c>
      <c r="G26" s="51">
        <f>(+GETPIVOTDATA("Sum of "&amp;T(Transactions!$M$19),Pivot!$A$3,"Customer","Greenbelt"))</f>
        <v>-450.99423406463171</v>
      </c>
      <c r="H26" s="51">
        <f>-'2021 NOLC Refund Detail'!C9</f>
        <v>-4502.5761226782042</v>
      </c>
      <c r="I26" s="63">
        <f t="shared" si="0"/>
        <v>-10456.170356742856</v>
      </c>
      <c r="J26" s="60"/>
      <c r="K26" s="65"/>
      <c r="L26" s="65"/>
      <c r="M26" s="65"/>
      <c r="N26" s="65"/>
      <c r="O26" s="51"/>
      <c r="P26" s="51"/>
      <c r="Q26" s="51"/>
    </row>
    <row r="27" spans="2:17" x14ac:dyDescent="0.25">
      <c r="B27" s="60"/>
      <c r="C27" s="61" t="s">
        <v>57</v>
      </c>
      <c r="D27" s="62">
        <f>GETPIVOTDATA("Sum of "&amp;T(Transactions!$J$19),Pivot!$A$3,"Customer",C27)</f>
        <v>419501.76</v>
      </c>
      <c r="E27" s="62">
        <f>GETPIVOTDATA("Sum of "&amp;T(Transactions!$K$19),Pivot!$A$3,"Customer",C27)</f>
        <v>442734.95999999996</v>
      </c>
      <c r="F27" s="62">
        <f t="shared" si="1"/>
        <v>-23233.199999999953</v>
      </c>
      <c r="G27" s="51">
        <f>(+GETPIVOTDATA("Sum of "&amp;T(Transactions!$M$19),Pivot!$A$3,"Customer","Hope, AR"))</f>
        <v>-1904.1978771617787</v>
      </c>
      <c r="H27" s="51">
        <f>-'2021 NOLC Refund Detail'!C10</f>
        <v>-22512.880613391022</v>
      </c>
      <c r="I27" s="63">
        <f t="shared" si="0"/>
        <v>-47650.278490552751</v>
      </c>
      <c r="J27" s="60"/>
      <c r="K27" s="65"/>
      <c r="L27" s="65"/>
      <c r="M27" s="65"/>
      <c r="N27" s="65"/>
      <c r="O27" s="51"/>
      <c r="P27" s="51"/>
      <c r="Q27" s="51"/>
    </row>
    <row r="28" spans="2:17" x14ac:dyDescent="0.25">
      <c r="B28" s="60"/>
      <c r="C28" s="61" t="s">
        <v>16</v>
      </c>
      <c r="D28" s="62">
        <f>GETPIVOTDATA("Sum of "&amp;T(Transactions!$J$19),Pivot!$A$3,"Customer",C28)</f>
        <v>51517.760000000009</v>
      </c>
      <c r="E28" s="62">
        <f>GETPIVOTDATA("Sum of "&amp;T(Transactions!$K$19),Pivot!$A$3,"Customer",C28)</f>
        <v>54370.96</v>
      </c>
      <c r="F28" s="62">
        <f t="shared" si="1"/>
        <v>-2853.1999999999898</v>
      </c>
      <c r="G28" s="51">
        <f>(+GETPIVOTDATA("Sum of "&amp;T(Transactions!$M$19),Pivot!$A$3,"Customer","Lighthouse"))</f>
        <v>-233.84886210758683</v>
      </c>
      <c r="H28" s="51">
        <f>-'2021 NOLC Refund Detail'!C11</f>
        <v>0</v>
      </c>
      <c r="I28" s="63">
        <f t="shared" si="0"/>
        <v>-3087.0488621075765</v>
      </c>
      <c r="J28" s="60"/>
      <c r="L28" s="50"/>
      <c r="M28" s="51"/>
      <c r="N28" s="51"/>
      <c r="O28" s="51"/>
      <c r="P28" s="51"/>
      <c r="Q28" s="51"/>
    </row>
    <row r="29" spans="2:17" x14ac:dyDescent="0.25">
      <c r="B29" s="60"/>
      <c r="C29" s="64" t="s">
        <v>56</v>
      </c>
      <c r="D29" s="62">
        <f>GETPIVOTDATA("Sum of "&amp;T(Transactions!$J$19),Pivot!$A$3,"Customer",C29)</f>
        <v>304506.76</v>
      </c>
      <c r="E29" s="62">
        <f>GETPIVOTDATA("Sum of "&amp;T(Transactions!$K$19),Pivot!$A$3,"Customer",C29)</f>
        <v>321371.20999999996</v>
      </c>
      <c r="F29" s="62">
        <f t="shared" si="1"/>
        <v>-16864.449999999953</v>
      </c>
      <c r="G29" s="51">
        <f>(+GETPIVOTDATA("Sum of "&amp;T(Transactions!$M$19),Pivot!$A$3,"Customer","Minden, LA"))</f>
        <v>-1382.213809957344</v>
      </c>
      <c r="H29" s="51">
        <f>-'2021 NOLC Refund Detail'!C12</f>
        <v>-13507.728368034614</v>
      </c>
      <c r="I29" s="63">
        <f t="shared" si="0"/>
        <v>-31754.392177991911</v>
      </c>
      <c r="J29" s="60"/>
      <c r="L29" s="50"/>
      <c r="M29" s="51"/>
      <c r="N29" s="51"/>
      <c r="O29" s="51"/>
      <c r="P29" s="51"/>
      <c r="Q29" s="51"/>
    </row>
    <row r="30" spans="2:17" x14ac:dyDescent="0.25">
      <c r="B30" s="60"/>
      <c r="C30" s="64" t="s">
        <v>19</v>
      </c>
      <c r="D30" s="62">
        <f>GETPIVOTDATA("Sum of "&amp;T(Transactions!$J$19),Pivot!$A$3,"Customer",C30)</f>
        <v>680770.39999999991</v>
      </c>
      <c r="E30" s="62">
        <f>GETPIVOTDATA("Sum of "&amp;T(Transactions!$K$19),Pivot!$A$3,"Customer",C30)</f>
        <v>718473.39999999979</v>
      </c>
      <c r="F30" s="62">
        <f t="shared" si="1"/>
        <v>-37702.999999999884</v>
      </c>
      <c r="G30" s="51">
        <f>(+GETPIVOTDATA("Sum of "&amp;T(Transactions!$M$19),Pivot!$A$3,"Customer","OG&amp;E"))</f>
        <v>-3090.1456778502547</v>
      </c>
      <c r="H30" s="51">
        <f>-'2021 NOLC Refund Detail'!C13</f>
        <v>-22512.880613391022</v>
      </c>
      <c r="I30" s="63">
        <f t="shared" si="0"/>
        <v>-63306.026291241156</v>
      </c>
      <c r="J30" s="60"/>
    </row>
    <row r="31" spans="2:17" x14ac:dyDescent="0.25">
      <c r="B31" s="60"/>
      <c r="C31" s="61" t="s">
        <v>8</v>
      </c>
      <c r="D31" s="62">
        <f>GETPIVOTDATA("Sum of "&amp;T(Transactions!$J$19),Pivot!$A$3,"Customer",C31)</f>
        <v>1167429.2400000002</v>
      </c>
      <c r="E31" s="62">
        <f>GETPIVOTDATA("Sum of "&amp;T(Transactions!$K$19),Pivot!$A$3,"Customer",C31)</f>
        <v>1232084.79</v>
      </c>
      <c r="F31" s="62">
        <f t="shared" si="1"/>
        <v>-64655.549999999814</v>
      </c>
      <c r="G31" s="51">
        <f>(+GETPIVOTDATA("Sum of "&amp;T(Transactions!$M$19),Pivot!$A$3,"Customer","OMPA"))</f>
        <v>-5299.1822502594241</v>
      </c>
      <c r="H31" s="51">
        <f>-'2021 NOLC Refund Detail'!C14</f>
        <v>-58533.489594816652</v>
      </c>
      <c r="I31" s="63">
        <f t="shared" si="0"/>
        <v>-128488.2218450759</v>
      </c>
      <c r="J31" s="60"/>
    </row>
    <row r="32" spans="2:17" x14ac:dyDescent="0.25">
      <c r="B32" s="60"/>
      <c r="C32" s="61" t="s">
        <v>55</v>
      </c>
      <c r="D32" s="62">
        <f>GETPIVOTDATA("Sum of "&amp;T(Transactions!$J$19),Pivot!$A$3,"Customer",C32)</f>
        <v>111315.16</v>
      </c>
      <c r="E32" s="62">
        <f>GETPIVOTDATA("Sum of "&amp;T(Transactions!$K$19),Pivot!$A$3,"Customer",C32)</f>
        <v>117480.10999999999</v>
      </c>
      <c r="F32" s="62">
        <f t="shared" si="1"/>
        <v>-6164.9499999999825</v>
      </c>
      <c r="G32" s="51">
        <f>(+GETPIVOTDATA("Sum of "&amp;T(Transactions!$M$19),Pivot!$A$3,"Customer","Prescott, AR"))</f>
        <v>-505.28057705389301</v>
      </c>
      <c r="H32" s="51">
        <f>-'2021 NOLC Refund Detail'!C15</f>
        <v>-4502.5761226782042</v>
      </c>
      <c r="I32" s="63">
        <f t="shared" si="0"/>
        <v>-11172.806699732078</v>
      </c>
      <c r="J32" s="60"/>
    </row>
    <row r="33" spans="2:11" x14ac:dyDescent="0.25">
      <c r="B33" s="60"/>
      <c r="C33" s="66" t="s">
        <v>9</v>
      </c>
      <c r="D33" s="62">
        <f>GETPIVOTDATA("Sum of "&amp;T(Transactions!$J$19),Pivot!$A$3,"Customer",C33)</f>
        <v>566695.3600000001</v>
      </c>
      <c r="E33" s="62">
        <f>GETPIVOTDATA("Sum of "&amp;T(Transactions!$K$19),Pivot!$A$3,"Customer",C33)</f>
        <v>598080.56000000006</v>
      </c>
      <c r="F33" s="62">
        <f t="shared" si="1"/>
        <v>-31385.199999999953</v>
      </c>
      <c r="G33" s="51">
        <f>(+GETPIVOTDATA("Sum of "&amp;T(Transactions!$M$19),Pivot!$A$3,"Customer","WFEC"))</f>
        <v>-2572.3374831834558</v>
      </c>
      <c r="H33" s="51">
        <f>-'2021 NOLC Refund Detail'!C16</f>
        <v>-22512.880613391022</v>
      </c>
      <c r="I33" s="63">
        <f t="shared" si="0"/>
        <v>-56470.418096574431</v>
      </c>
      <c r="J33" s="60"/>
    </row>
    <row r="34" spans="2:11" ht="23" x14ac:dyDescent="0.25">
      <c r="C34" s="67" t="s">
        <v>43</v>
      </c>
      <c r="D34" s="68">
        <f t="shared" ref="D34:I34" si="2">SUM(D21:D33)</f>
        <v>24826040.559999999</v>
      </c>
      <c r="E34" s="68">
        <f t="shared" si="2"/>
        <v>26200977.260000002</v>
      </c>
      <c r="F34" s="68">
        <f t="shared" si="2"/>
        <v>-1374936.6999999997</v>
      </c>
      <c r="G34" s="69">
        <f t="shared" si="2"/>
        <v>-112690.09630063108</v>
      </c>
      <c r="H34" s="69">
        <f t="shared" si="2"/>
        <v>-1170669.791896333</v>
      </c>
      <c r="I34" s="70">
        <f t="shared" si="2"/>
        <v>-2658296.5881969635</v>
      </c>
    </row>
    <row r="35" spans="2:11" x14ac:dyDescent="0.25">
      <c r="C35" s="71" t="s">
        <v>21</v>
      </c>
      <c r="D35" s="62">
        <f>GETPIVOTDATA("Sum of "&amp;T(Transactions!$J$19),Pivot!$A$3,"Customer",C35)</f>
        <v>35008157.839999996</v>
      </c>
      <c r="E35" s="62">
        <f>GETPIVOTDATA("Sum of "&amp;T(Transactions!$K$19),Pivot!$A$3,"Customer",C35)</f>
        <v>36947009.140000001</v>
      </c>
      <c r="F35" s="62">
        <f t="shared" si="1"/>
        <v>-1938851.3000000045</v>
      </c>
      <c r="G35" s="51">
        <f>(+GETPIVOTDATA("Sum of "&amp;T(Transactions!$M$19),Pivot!$A$3,"Customer","PSO"))</f>
        <v>-158908.65354718053</v>
      </c>
      <c r="H35" s="51">
        <f>-'2021 NOLC Refund Detail'!C18</f>
        <v>-1665953.1653909357</v>
      </c>
      <c r="I35" s="63">
        <f>F35+G35+H35</f>
        <v>-3763713.1189381205</v>
      </c>
    </row>
    <row r="36" spans="2:11" x14ac:dyDescent="0.25">
      <c r="C36" s="72" t="s">
        <v>22</v>
      </c>
      <c r="D36" s="62">
        <f>GETPIVOTDATA("Sum of "&amp;T(Transactions!$J$19),Pivot!$A$3,"Customer",C36)</f>
        <v>32672379.400000002</v>
      </c>
      <c r="E36" s="62">
        <f>GETPIVOTDATA("Sum of "&amp;T(Transactions!$K$19),Pivot!$A$3,"Customer",C36)</f>
        <v>34481868.649999999</v>
      </c>
      <c r="F36" s="62">
        <f>D36-E36</f>
        <v>-1809489.2499999963</v>
      </c>
      <c r="G36" s="51">
        <f>(+GETPIVOTDATA("Sum of "&amp;T(Transactions!$M$19),Pivot!$A$3,"Customer","SWEPCO"))</f>
        <v>-148306.11317412407</v>
      </c>
      <c r="H36" s="51">
        <f>-'2021 NOLC Refund Detail'!C19</f>
        <v>-1593911.9474280842</v>
      </c>
      <c r="I36" s="63">
        <f>F36+G36+H36</f>
        <v>-3551707.3106022049</v>
      </c>
    </row>
    <row r="37" spans="2:11" x14ac:dyDescent="0.25">
      <c r="C37" s="73" t="s">
        <v>81</v>
      </c>
      <c r="D37" s="62">
        <f>GETPIVOTDATA("Sum of "&amp;T(Transactions!$J$19),Pivot!$A$3,"Customer",C37)</f>
        <v>1493095.0799999998</v>
      </c>
      <c r="E37" s="62">
        <f>GETPIVOTDATA("Sum of "&amp;T(Transactions!$K$19),Pivot!$A$3,"Customer",C37)</f>
        <v>1575786.9299999997</v>
      </c>
      <c r="F37" s="62">
        <f>D37-E37</f>
        <v>-82691.84999999986</v>
      </c>
      <c r="G37" s="51">
        <f>(+GETPIVOTDATA("Sum of "&amp;T(Transactions!$M$19),Pivot!$A$3,"Customer","SWEPCO-Valley"))</f>
        <v>-6777.4411285823826</v>
      </c>
      <c r="H37" s="51">
        <f>-'2021 NOLC Refund Detail'!C20</f>
        <v>-72041.217962851268</v>
      </c>
      <c r="I37" s="63">
        <f>F37+G37+H37</f>
        <v>-161510.50909143352</v>
      </c>
    </row>
    <row r="38" spans="2:11" ht="23" x14ac:dyDescent="0.25">
      <c r="C38" s="74" t="s">
        <v>51</v>
      </c>
      <c r="D38" s="75">
        <f t="shared" ref="D38:I38" si="3">SUM(D35:D37)</f>
        <v>69173632.319999993</v>
      </c>
      <c r="E38" s="75">
        <f t="shared" si="3"/>
        <v>73004664.719999999</v>
      </c>
      <c r="F38" s="75">
        <f t="shared" si="3"/>
        <v>-3831032.4000000004</v>
      </c>
      <c r="G38" s="76">
        <f t="shared" si="3"/>
        <v>-313992.20784988703</v>
      </c>
      <c r="H38" s="76">
        <f t="shared" si="3"/>
        <v>-3331906.330781871</v>
      </c>
      <c r="I38" s="77">
        <f t="shared" si="3"/>
        <v>-7476930.9386317581</v>
      </c>
      <c r="K38" s="78"/>
    </row>
    <row r="39" spans="2:11" ht="23.25" customHeight="1" thickBot="1" x14ac:dyDescent="0.3">
      <c r="C39" s="79" t="s">
        <v>44</v>
      </c>
      <c r="D39" s="80">
        <f t="shared" ref="D39:I39" si="4">SUM(D34,D38)</f>
        <v>93999672.879999995</v>
      </c>
      <c r="E39" s="81">
        <f t="shared" si="4"/>
        <v>99205641.980000004</v>
      </c>
      <c r="F39" s="80">
        <f t="shared" si="4"/>
        <v>-5205969.0999999996</v>
      </c>
      <c r="G39" s="81">
        <f t="shared" si="4"/>
        <v>-426682.30415051809</v>
      </c>
      <c r="H39" s="81">
        <f t="shared" si="4"/>
        <v>-4502576.1226782035</v>
      </c>
      <c r="I39" s="82">
        <f t="shared" si="4"/>
        <v>-10135227.526828721</v>
      </c>
      <c r="J39" s="83"/>
      <c r="K39" s="78"/>
    </row>
    <row r="40" spans="2:11" x14ac:dyDescent="0.25">
      <c r="E40" s="50"/>
      <c r="F40" s="50"/>
      <c r="G40" s="50"/>
      <c r="H40" s="50"/>
    </row>
    <row r="41" spans="2:11" x14ac:dyDescent="0.25">
      <c r="D41" s="60"/>
      <c r="E41" s="60"/>
      <c r="F41" s="60"/>
      <c r="G41" s="60"/>
      <c r="H41" s="60"/>
      <c r="I41" s="60"/>
    </row>
    <row r="42" spans="2:11" x14ac:dyDescent="0.25">
      <c r="D42" s="60"/>
    </row>
  </sheetData>
  <mergeCells count="4">
    <mergeCell ref="C1:I1"/>
    <mergeCell ref="C2:I2"/>
    <mergeCell ref="C3:I3"/>
    <mergeCell ref="C4:I4"/>
  </mergeCells>
  <phoneticPr fontId="6" type="noConversion"/>
  <printOptions horizontalCentered="1"/>
  <pageMargins left="0.5" right="0.75" top="0.9" bottom="0.53" header="0.5" footer="0.5"/>
  <pageSetup scale="87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O126"/>
  <sheetViews>
    <sheetView zoomScale="85" workbookViewId="0">
      <pane xSplit="2" ySplit="4" topLeftCell="I95" activePane="bottomRight" state="frozen"/>
      <selection pane="topRight" activeCell="C1" sqref="C1"/>
      <selection pane="bottomLeft" activeCell="A5" sqref="A5"/>
      <selection pane="bottomRight" activeCell="K105" sqref="K105"/>
    </sheetView>
  </sheetViews>
  <sheetFormatPr defaultColWidth="8.7265625" defaultRowHeight="12.5" x14ac:dyDescent="0.25"/>
  <cols>
    <col min="1" max="1" width="19.1796875" style="1" customWidth="1"/>
    <col min="2" max="2" width="27.81640625" style="1" bestFit="1" customWidth="1"/>
    <col min="3" max="14" width="14.81640625" style="1" bestFit="1" customWidth="1"/>
    <col min="15" max="15" width="11.1796875" style="1" bestFit="1" customWidth="1"/>
    <col min="16" max="16384" width="8.7265625" style="1"/>
  </cols>
  <sheetData>
    <row r="3" spans="1:15" x14ac:dyDescent="0.25">
      <c r="A3" s="85"/>
      <c r="B3" s="86"/>
      <c r="C3" s="87" t="s">
        <v>53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8"/>
    </row>
    <row r="4" spans="1:15" x14ac:dyDescent="0.25">
      <c r="A4" s="87" t="s">
        <v>0</v>
      </c>
      <c r="B4" s="87" t="s">
        <v>24</v>
      </c>
      <c r="C4" s="89">
        <v>44927</v>
      </c>
      <c r="D4" s="90">
        <v>44958</v>
      </c>
      <c r="E4" s="90">
        <v>44986</v>
      </c>
      <c r="F4" s="90">
        <v>45017</v>
      </c>
      <c r="G4" s="90">
        <v>45047</v>
      </c>
      <c r="H4" s="90">
        <v>45078</v>
      </c>
      <c r="I4" s="90">
        <v>45108</v>
      </c>
      <c r="J4" s="90">
        <v>45139</v>
      </c>
      <c r="K4" s="90">
        <v>45170</v>
      </c>
      <c r="L4" s="90">
        <v>45200</v>
      </c>
      <c r="M4" s="90">
        <v>45231</v>
      </c>
      <c r="N4" s="90">
        <v>45261</v>
      </c>
      <c r="O4" s="91" t="s">
        <v>18</v>
      </c>
    </row>
    <row r="5" spans="1:15" x14ac:dyDescent="0.25">
      <c r="A5" s="85" t="s">
        <v>14</v>
      </c>
      <c r="B5" s="85" t="s">
        <v>70</v>
      </c>
      <c r="C5" s="92">
        <v>761726.88</v>
      </c>
      <c r="D5" s="93">
        <v>723088.56</v>
      </c>
      <c r="E5" s="93">
        <v>645811.92000000004</v>
      </c>
      <c r="F5" s="93">
        <v>477459.24</v>
      </c>
      <c r="G5" s="93">
        <v>662371.20000000007</v>
      </c>
      <c r="H5" s="93">
        <v>896961</v>
      </c>
      <c r="I5" s="93">
        <v>850043.04</v>
      </c>
      <c r="J5" s="93">
        <v>968717.88</v>
      </c>
      <c r="K5" s="93">
        <v>832563.8</v>
      </c>
      <c r="L5" s="93">
        <v>638452.24</v>
      </c>
      <c r="M5" s="93">
        <v>677090.56</v>
      </c>
      <c r="N5" s="93">
        <v>655931.48</v>
      </c>
      <c r="O5" s="94">
        <v>8790217.8000000007</v>
      </c>
    </row>
    <row r="6" spans="1:15" ht="13" x14ac:dyDescent="0.3">
      <c r="A6" s="218"/>
      <c r="B6" s="95" t="s">
        <v>25</v>
      </c>
      <c r="C6" s="255">
        <v>-42186.599999999977</v>
      </c>
      <c r="D6" s="256">
        <v>-40046.699999999953</v>
      </c>
      <c r="E6" s="256">
        <v>-35766.899999999907</v>
      </c>
      <c r="F6" s="256">
        <v>-26443.049999999988</v>
      </c>
      <c r="G6" s="256">
        <v>-36683.999999999884</v>
      </c>
      <c r="H6" s="256">
        <v>-49676.25</v>
      </c>
      <c r="I6" s="256">
        <v>-47077.79999999993</v>
      </c>
      <c r="J6" s="256">
        <v>-53650.349999999977</v>
      </c>
      <c r="K6" s="256">
        <v>-46109.749999999884</v>
      </c>
      <c r="L6" s="256">
        <v>-35359.29999999993</v>
      </c>
      <c r="M6" s="256">
        <v>-37499.199999999953</v>
      </c>
      <c r="N6" s="256">
        <v>-36327.349999999977</v>
      </c>
      <c r="O6" s="257">
        <v>-486827.24999999936</v>
      </c>
    </row>
    <row r="7" spans="1:15" ht="13" x14ac:dyDescent="0.3">
      <c r="A7" s="218"/>
      <c r="B7" s="95" t="s">
        <v>26</v>
      </c>
      <c r="C7" s="255">
        <v>-3457.6224611621774</v>
      </c>
      <c r="D7" s="256">
        <v>-3282.2358145814869</v>
      </c>
      <c r="E7" s="256">
        <v>-2931.4625214201069</v>
      </c>
      <c r="F7" s="256">
        <v>-2167.277847032814</v>
      </c>
      <c r="G7" s="256">
        <v>-3006.6282270975453</v>
      </c>
      <c r="H7" s="256">
        <v>-4071.4757241945931</v>
      </c>
      <c r="I7" s="256">
        <v>-3858.506224775183</v>
      </c>
      <c r="J7" s="256">
        <v>-4397.1937821301599</v>
      </c>
      <c r="K7" s="256">
        <v>-3779.1646465601088</v>
      </c>
      <c r="L7" s="256">
        <v>-2898.055541119023</v>
      </c>
      <c r="M7" s="256">
        <v>-3073.442187699713</v>
      </c>
      <c r="N7" s="256">
        <v>-2977.3971193340967</v>
      </c>
      <c r="O7" s="257">
        <v>-39900.462097107011</v>
      </c>
    </row>
    <row r="8" spans="1:15" ht="13" x14ac:dyDescent="0.3">
      <c r="A8" s="218"/>
      <c r="B8" s="95" t="s">
        <v>27</v>
      </c>
      <c r="C8" s="255">
        <v>-45644.222461162157</v>
      </c>
      <c r="D8" s="256">
        <v>-43328.93581458144</v>
      </c>
      <c r="E8" s="256">
        <v>-38698.362521420015</v>
      </c>
      <c r="F8" s="256">
        <v>-28610.3278470328</v>
      </c>
      <c r="G8" s="256">
        <v>-39690.628227097426</v>
      </c>
      <c r="H8" s="256">
        <v>-53747.725724194592</v>
      </c>
      <c r="I8" s="256">
        <v>-50936.306224775115</v>
      </c>
      <c r="J8" s="256">
        <v>-58047.543782130138</v>
      </c>
      <c r="K8" s="256">
        <v>-49888.914646559992</v>
      </c>
      <c r="L8" s="256">
        <v>-38257.355541118952</v>
      </c>
      <c r="M8" s="256">
        <v>-40572.642187699668</v>
      </c>
      <c r="N8" s="256">
        <v>-39304.747119334075</v>
      </c>
      <c r="O8" s="257">
        <v>-526727.71209710627</v>
      </c>
    </row>
    <row r="9" spans="1:15" x14ac:dyDescent="0.25">
      <c r="A9" s="218"/>
      <c r="B9" s="95" t="s">
        <v>49</v>
      </c>
      <c r="C9" s="96">
        <v>803913.48</v>
      </c>
      <c r="D9" s="84">
        <v>763135.26</v>
      </c>
      <c r="E9" s="84">
        <v>681578.82</v>
      </c>
      <c r="F9" s="84">
        <v>503902.29</v>
      </c>
      <c r="G9" s="84">
        <v>699055.2</v>
      </c>
      <c r="H9" s="84">
        <v>946637.25</v>
      </c>
      <c r="I9" s="84">
        <v>897120.84</v>
      </c>
      <c r="J9" s="84">
        <v>1022368.23</v>
      </c>
      <c r="K9" s="84">
        <v>878673.54999999993</v>
      </c>
      <c r="L9" s="84">
        <v>673811.53999999992</v>
      </c>
      <c r="M9" s="84">
        <v>714589.76</v>
      </c>
      <c r="N9" s="84">
        <v>692258.83</v>
      </c>
      <c r="O9" s="97">
        <v>9277045.0499999989</v>
      </c>
    </row>
    <row r="10" spans="1:15" x14ac:dyDescent="0.25">
      <c r="A10" s="218"/>
      <c r="B10" s="95" t="s">
        <v>87</v>
      </c>
      <c r="C10" s="96">
        <v>0</v>
      </c>
      <c r="D10" s="84">
        <v>0</v>
      </c>
      <c r="E10" s="84">
        <v>0</v>
      </c>
      <c r="F10" s="84">
        <v>0</v>
      </c>
      <c r="G10" s="84">
        <v>0</v>
      </c>
      <c r="H10" s="84">
        <v>0</v>
      </c>
      <c r="I10" s="84">
        <v>0</v>
      </c>
      <c r="J10" s="84">
        <v>0</v>
      </c>
      <c r="K10" s="84">
        <v>0</v>
      </c>
      <c r="L10" s="84">
        <v>0</v>
      </c>
      <c r="M10" s="84">
        <v>0</v>
      </c>
      <c r="N10" s="84">
        <v>0</v>
      </c>
      <c r="O10" s="97">
        <v>0</v>
      </c>
    </row>
    <row r="11" spans="1:15" x14ac:dyDescent="0.25">
      <c r="A11" s="218"/>
      <c r="B11" s="95" t="s">
        <v>89</v>
      </c>
      <c r="C11" s="96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</v>
      </c>
      <c r="M11" s="84">
        <v>0</v>
      </c>
      <c r="N11" s="84">
        <v>0</v>
      </c>
      <c r="O11" s="97">
        <v>0</v>
      </c>
    </row>
    <row r="12" spans="1:15" x14ac:dyDescent="0.25">
      <c r="A12" s="85" t="s">
        <v>17</v>
      </c>
      <c r="B12" s="85" t="s">
        <v>70</v>
      </c>
      <c r="C12" s="92">
        <v>95675.839999999997</v>
      </c>
      <c r="D12" s="93">
        <v>98435.72</v>
      </c>
      <c r="E12" s="93">
        <v>94755.88</v>
      </c>
      <c r="F12" s="93">
        <v>90156.08</v>
      </c>
      <c r="G12" s="93">
        <v>96595.8</v>
      </c>
      <c r="H12" s="93">
        <v>105795.40000000001</v>
      </c>
      <c r="I12" s="93">
        <v>101195.6</v>
      </c>
      <c r="J12" s="93">
        <v>100275.64</v>
      </c>
      <c r="K12" s="93">
        <v>103035.52</v>
      </c>
      <c r="L12" s="93">
        <v>98435.72</v>
      </c>
      <c r="M12" s="93">
        <v>95675.839999999997</v>
      </c>
      <c r="N12" s="93">
        <v>92915.96</v>
      </c>
      <c r="O12" s="94">
        <v>1172949</v>
      </c>
    </row>
    <row r="13" spans="1:15" ht="13" x14ac:dyDescent="0.3">
      <c r="A13" s="218"/>
      <c r="B13" s="95" t="s">
        <v>25</v>
      </c>
      <c r="C13" s="255">
        <v>-5298.8000000000029</v>
      </c>
      <c r="D13" s="256">
        <v>-5451.6499999999942</v>
      </c>
      <c r="E13" s="256">
        <v>-5247.8499999999913</v>
      </c>
      <c r="F13" s="256">
        <v>-4993.0999999999913</v>
      </c>
      <c r="G13" s="256">
        <v>-5349.75</v>
      </c>
      <c r="H13" s="256">
        <v>-5859.2499999999854</v>
      </c>
      <c r="I13" s="256">
        <v>-5604.4999999999854</v>
      </c>
      <c r="J13" s="256">
        <v>-5553.5500000000029</v>
      </c>
      <c r="K13" s="256">
        <v>-5706.3999999999942</v>
      </c>
      <c r="L13" s="256">
        <v>-5451.6499999999942</v>
      </c>
      <c r="M13" s="256">
        <v>-5298.8000000000029</v>
      </c>
      <c r="N13" s="256">
        <v>-5145.9499999999971</v>
      </c>
      <c r="O13" s="257">
        <v>-64961.249999999942</v>
      </c>
    </row>
    <row r="14" spans="1:15" ht="13" x14ac:dyDescent="0.3">
      <c r="A14" s="218"/>
      <c r="B14" s="95" t="s">
        <v>26</v>
      </c>
      <c r="C14" s="255">
        <v>-434.29074391408983</v>
      </c>
      <c r="D14" s="256">
        <v>-446.81836152699628</v>
      </c>
      <c r="E14" s="256">
        <v>-430.1148713764544</v>
      </c>
      <c r="F14" s="256">
        <v>-409.23550868827698</v>
      </c>
      <c r="G14" s="256">
        <v>-438.46661645172537</v>
      </c>
      <c r="H14" s="256">
        <v>-480.2253418280801</v>
      </c>
      <c r="I14" s="256">
        <v>-459.34597913990279</v>
      </c>
      <c r="J14" s="256">
        <v>-455.17010660226725</v>
      </c>
      <c r="K14" s="256">
        <v>-467.69772421517371</v>
      </c>
      <c r="L14" s="256">
        <v>-446.81836152699628</v>
      </c>
      <c r="M14" s="256">
        <v>-434.29074391408983</v>
      </c>
      <c r="N14" s="256">
        <v>-421.76312630118343</v>
      </c>
      <c r="O14" s="257">
        <v>-5324.2374854852369</v>
      </c>
    </row>
    <row r="15" spans="1:15" ht="13" x14ac:dyDescent="0.3">
      <c r="A15" s="218"/>
      <c r="B15" s="95" t="s">
        <v>27</v>
      </c>
      <c r="C15" s="255">
        <v>-5733.0907439140929</v>
      </c>
      <c r="D15" s="256">
        <v>-5898.4683615269905</v>
      </c>
      <c r="E15" s="256">
        <v>-5677.9648713764454</v>
      </c>
      <c r="F15" s="256">
        <v>-5402.3355086882684</v>
      </c>
      <c r="G15" s="256">
        <v>-5788.2166164517257</v>
      </c>
      <c r="H15" s="256">
        <v>-6339.4753418280652</v>
      </c>
      <c r="I15" s="256">
        <v>-6063.8459791398882</v>
      </c>
      <c r="J15" s="256">
        <v>-6008.7201066022699</v>
      </c>
      <c r="K15" s="256">
        <v>-6174.0977242151675</v>
      </c>
      <c r="L15" s="256">
        <v>-5898.4683615269905</v>
      </c>
      <c r="M15" s="256">
        <v>-5733.0907439140929</v>
      </c>
      <c r="N15" s="256">
        <v>-5567.7131263011806</v>
      </c>
      <c r="O15" s="257">
        <v>-70285.487485485166</v>
      </c>
    </row>
    <row r="16" spans="1:15" x14ac:dyDescent="0.25">
      <c r="A16" s="218"/>
      <c r="B16" s="95" t="s">
        <v>49</v>
      </c>
      <c r="C16" s="96">
        <v>100974.64</v>
      </c>
      <c r="D16" s="84">
        <v>103887.37</v>
      </c>
      <c r="E16" s="84">
        <v>100003.73</v>
      </c>
      <c r="F16" s="84">
        <v>95149.18</v>
      </c>
      <c r="G16" s="84">
        <v>101945.55</v>
      </c>
      <c r="H16" s="84">
        <v>111654.65</v>
      </c>
      <c r="I16" s="84">
        <v>106800.09999999999</v>
      </c>
      <c r="J16" s="84">
        <v>105829.19</v>
      </c>
      <c r="K16" s="84">
        <v>108741.92</v>
      </c>
      <c r="L16" s="84">
        <v>103887.37</v>
      </c>
      <c r="M16" s="84">
        <v>100974.64</v>
      </c>
      <c r="N16" s="84">
        <v>98061.91</v>
      </c>
      <c r="O16" s="97">
        <v>1237910.2499999998</v>
      </c>
    </row>
    <row r="17" spans="1:15" x14ac:dyDescent="0.25">
      <c r="A17" s="218"/>
      <c r="B17" s="95" t="s">
        <v>87</v>
      </c>
      <c r="C17" s="96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0</v>
      </c>
      <c r="M17" s="84">
        <v>0</v>
      </c>
      <c r="N17" s="84">
        <v>0</v>
      </c>
      <c r="O17" s="97">
        <v>0</v>
      </c>
    </row>
    <row r="18" spans="1:15" x14ac:dyDescent="0.25">
      <c r="A18" s="218"/>
      <c r="B18" s="95" t="s">
        <v>89</v>
      </c>
      <c r="C18" s="96">
        <v>0</v>
      </c>
      <c r="D18" s="84">
        <v>0</v>
      </c>
      <c r="E18" s="84">
        <v>0</v>
      </c>
      <c r="F18" s="84">
        <v>0</v>
      </c>
      <c r="G18" s="84">
        <v>0</v>
      </c>
      <c r="H18" s="84">
        <v>0</v>
      </c>
      <c r="I18" s="84">
        <v>0</v>
      </c>
      <c r="J18" s="84">
        <v>0</v>
      </c>
      <c r="K18" s="84">
        <v>0</v>
      </c>
      <c r="L18" s="84">
        <v>0</v>
      </c>
      <c r="M18" s="84">
        <v>0</v>
      </c>
      <c r="N18" s="84">
        <v>0</v>
      </c>
      <c r="O18" s="97">
        <v>0</v>
      </c>
    </row>
    <row r="19" spans="1:15" x14ac:dyDescent="0.25">
      <c r="A19" s="85" t="s">
        <v>13</v>
      </c>
      <c r="B19" s="85" t="s">
        <v>70</v>
      </c>
      <c r="C19" s="92">
        <v>889601.32000000007</v>
      </c>
      <c r="D19" s="93">
        <v>878561.8</v>
      </c>
      <c r="E19" s="93">
        <v>802205.12</v>
      </c>
      <c r="F19" s="93">
        <v>553815.92000000004</v>
      </c>
      <c r="G19" s="93">
        <v>654091.56000000006</v>
      </c>
      <c r="H19" s="93">
        <v>861082.56</v>
      </c>
      <c r="I19" s="93">
        <v>857402.72000000009</v>
      </c>
      <c r="J19" s="93">
        <v>942959</v>
      </c>
      <c r="K19" s="93">
        <v>859242.64</v>
      </c>
      <c r="L19" s="93">
        <v>643972</v>
      </c>
      <c r="M19" s="93">
        <v>797605.32000000007</v>
      </c>
      <c r="N19" s="93">
        <v>842683.36</v>
      </c>
      <c r="O19" s="94">
        <v>9583223.3199999984</v>
      </c>
    </row>
    <row r="20" spans="1:15" ht="13" x14ac:dyDescent="0.3">
      <c r="A20" s="218"/>
      <c r="B20" s="95" t="s">
        <v>25</v>
      </c>
      <c r="C20" s="255">
        <v>-49268.649999999907</v>
      </c>
      <c r="D20" s="256">
        <v>-48657.249999999884</v>
      </c>
      <c r="E20" s="256">
        <v>-44428.400000000023</v>
      </c>
      <c r="F20" s="256">
        <v>-30671.899999999907</v>
      </c>
      <c r="G20" s="256">
        <v>-36225.449999999953</v>
      </c>
      <c r="H20" s="256">
        <v>-47689.199999999953</v>
      </c>
      <c r="I20" s="256">
        <v>-47485.399999999907</v>
      </c>
      <c r="J20" s="256">
        <v>-52223.75</v>
      </c>
      <c r="K20" s="256">
        <v>-47587.29999999993</v>
      </c>
      <c r="L20" s="256">
        <v>-35665</v>
      </c>
      <c r="M20" s="256">
        <v>-44173.649999999907</v>
      </c>
      <c r="N20" s="256">
        <v>-46670.199999999953</v>
      </c>
      <c r="O20" s="257">
        <v>-530746.14999999932</v>
      </c>
    </row>
    <row r="21" spans="1:15" ht="13" x14ac:dyDescent="0.3">
      <c r="A21" s="218"/>
      <c r="B21" s="95" t="s">
        <v>26</v>
      </c>
      <c r="C21" s="255">
        <v>-4038.0687438935088</v>
      </c>
      <c r="D21" s="256">
        <v>-3987.9582734418832</v>
      </c>
      <c r="E21" s="256">
        <v>-3641.360852818138</v>
      </c>
      <c r="F21" s="256">
        <v>-2513.8752676565587</v>
      </c>
      <c r="G21" s="256">
        <v>-2969.0453742588261</v>
      </c>
      <c r="H21" s="256">
        <v>-3908.616695226809</v>
      </c>
      <c r="I21" s="256">
        <v>-3891.9132050762673</v>
      </c>
      <c r="J21" s="256">
        <v>-4280.2693510763665</v>
      </c>
      <c r="K21" s="256">
        <v>-3900.264950151538</v>
      </c>
      <c r="L21" s="256">
        <v>-2923.1107763448358</v>
      </c>
      <c r="M21" s="256">
        <v>-3620.481490129961</v>
      </c>
      <c r="N21" s="256">
        <v>-3825.0992444740996</v>
      </c>
      <c r="O21" s="257">
        <v>-43500.064224548798</v>
      </c>
    </row>
    <row r="22" spans="1:15" ht="13" x14ac:dyDescent="0.3">
      <c r="A22" s="218"/>
      <c r="B22" s="95" t="s">
        <v>27</v>
      </c>
      <c r="C22" s="255">
        <v>-53306.718743893412</v>
      </c>
      <c r="D22" s="256">
        <v>-52645.208273441764</v>
      </c>
      <c r="E22" s="256">
        <v>-48069.760852818159</v>
      </c>
      <c r="F22" s="256">
        <v>-33185.775267656463</v>
      </c>
      <c r="G22" s="256">
        <v>-39194.495374258782</v>
      </c>
      <c r="H22" s="256">
        <v>-51597.816695226764</v>
      </c>
      <c r="I22" s="256">
        <v>-51377.313205076178</v>
      </c>
      <c r="J22" s="256">
        <v>-56504.019351076364</v>
      </c>
      <c r="K22" s="256">
        <v>-51487.564950151471</v>
      </c>
      <c r="L22" s="256">
        <v>-38588.110776344838</v>
      </c>
      <c r="M22" s="256">
        <v>-47794.131490129868</v>
      </c>
      <c r="N22" s="256">
        <v>-50495.299244474052</v>
      </c>
      <c r="O22" s="257">
        <v>-574246.21422454808</v>
      </c>
    </row>
    <row r="23" spans="1:15" x14ac:dyDescent="0.25">
      <c r="A23" s="218"/>
      <c r="B23" s="95" t="s">
        <v>49</v>
      </c>
      <c r="C23" s="96">
        <v>938869.97</v>
      </c>
      <c r="D23" s="84">
        <v>927219.04999999993</v>
      </c>
      <c r="E23" s="84">
        <v>846633.52</v>
      </c>
      <c r="F23" s="84">
        <v>584487.81999999995</v>
      </c>
      <c r="G23" s="84">
        <v>690317.01</v>
      </c>
      <c r="H23" s="84">
        <v>908771.76</v>
      </c>
      <c r="I23" s="84">
        <v>904888.12</v>
      </c>
      <c r="J23" s="84">
        <v>995182.75</v>
      </c>
      <c r="K23" s="84">
        <v>906829.94</v>
      </c>
      <c r="L23" s="84">
        <v>679637</v>
      </c>
      <c r="M23" s="84">
        <v>841778.97</v>
      </c>
      <c r="N23" s="84">
        <v>889353.55999999994</v>
      </c>
      <c r="O23" s="97">
        <v>10113969.470000001</v>
      </c>
    </row>
    <row r="24" spans="1:15" x14ac:dyDescent="0.25">
      <c r="A24" s="218"/>
      <c r="B24" s="95" t="s">
        <v>87</v>
      </c>
      <c r="C24" s="96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97">
        <v>0</v>
      </c>
    </row>
    <row r="25" spans="1:15" x14ac:dyDescent="0.25">
      <c r="A25" s="218"/>
      <c r="B25" s="95" t="s">
        <v>89</v>
      </c>
      <c r="C25" s="96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97">
        <v>0</v>
      </c>
    </row>
    <row r="26" spans="1:15" x14ac:dyDescent="0.25">
      <c r="A26" s="85" t="s">
        <v>15</v>
      </c>
      <c r="B26" s="85" t="s">
        <v>70</v>
      </c>
      <c r="C26" s="92">
        <v>5519.76</v>
      </c>
      <c r="D26" s="93">
        <v>4599.8</v>
      </c>
      <c r="E26" s="93">
        <v>4599.8</v>
      </c>
      <c r="F26" s="93">
        <v>6439.72</v>
      </c>
      <c r="G26" s="93">
        <v>3679.84</v>
      </c>
      <c r="H26" s="93">
        <v>12879.44</v>
      </c>
      <c r="I26" s="93">
        <v>11959.48</v>
      </c>
      <c r="J26" s="93">
        <v>17479.240000000002</v>
      </c>
      <c r="K26" s="93">
        <v>16559.28</v>
      </c>
      <c r="L26" s="93">
        <v>5519.76</v>
      </c>
      <c r="M26" s="93">
        <v>5519.76</v>
      </c>
      <c r="N26" s="93">
        <v>4599.8</v>
      </c>
      <c r="O26" s="94">
        <v>99355.68</v>
      </c>
    </row>
    <row r="27" spans="1:15" ht="13" x14ac:dyDescent="0.3">
      <c r="A27" s="218"/>
      <c r="B27" s="95" t="s">
        <v>25</v>
      </c>
      <c r="C27" s="255">
        <v>-305.69999999999982</v>
      </c>
      <c r="D27" s="256">
        <v>-254.75</v>
      </c>
      <c r="E27" s="256">
        <v>-254.75</v>
      </c>
      <c r="F27" s="256">
        <v>-356.64999999999964</v>
      </c>
      <c r="G27" s="256">
        <v>-203.79999999999973</v>
      </c>
      <c r="H27" s="256">
        <v>-713.29999999999927</v>
      </c>
      <c r="I27" s="256">
        <v>-662.35000000000036</v>
      </c>
      <c r="J27" s="256">
        <v>-968.04999999999927</v>
      </c>
      <c r="K27" s="256">
        <v>-917.10000000000218</v>
      </c>
      <c r="L27" s="256">
        <v>-305.69999999999982</v>
      </c>
      <c r="M27" s="256">
        <v>-305.69999999999982</v>
      </c>
      <c r="N27" s="256">
        <v>-254.75</v>
      </c>
      <c r="O27" s="257">
        <v>-5502.6</v>
      </c>
    </row>
    <row r="28" spans="1:15" ht="13" x14ac:dyDescent="0.3">
      <c r="A28" s="218"/>
      <c r="B28" s="95" t="s">
        <v>26</v>
      </c>
      <c r="C28" s="255">
        <v>-25.055235225812876</v>
      </c>
      <c r="D28" s="256">
        <v>-20.879362688177398</v>
      </c>
      <c r="E28" s="256">
        <v>-20.879362688177398</v>
      </c>
      <c r="F28" s="256">
        <v>-29.231107763448357</v>
      </c>
      <c r="G28" s="256">
        <v>-16.703490150541917</v>
      </c>
      <c r="H28" s="256">
        <v>-58.462215526896713</v>
      </c>
      <c r="I28" s="256">
        <v>-54.286342989261229</v>
      </c>
      <c r="J28" s="256">
        <v>-79.341578215074122</v>
      </c>
      <c r="K28" s="256">
        <v>-75.165705677438623</v>
      </c>
      <c r="L28" s="256">
        <v>-25.055235225812876</v>
      </c>
      <c r="M28" s="256">
        <v>-25.055235225812876</v>
      </c>
      <c r="N28" s="256">
        <v>-20.879362688177398</v>
      </c>
      <c r="O28" s="257">
        <v>-450.99423406463171</v>
      </c>
    </row>
    <row r="29" spans="1:15" ht="13" x14ac:dyDescent="0.3">
      <c r="A29" s="218"/>
      <c r="B29" s="95" t="s">
        <v>27</v>
      </c>
      <c r="C29" s="255">
        <v>-330.75523522581267</v>
      </c>
      <c r="D29" s="256">
        <v>-275.62936268817742</v>
      </c>
      <c r="E29" s="256">
        <v>-275.62936268817742</v>
      </c>
      <c r="F29" s="256">
        <v>-385.88110776344797</v>
      </c>
      <c r="G29" s="256">
        <v>-220.50349015054164</v>
      </c>
      <c r="H29" s="256">
        <v>-771.76221552689594</v>
      </c>
      <c r="I29" s="256">
        <v>-716.63634298926161</v>
      </c>
      <c r="J29" s="256">
        <v>-1047.3915782150734</v>
      </c>
      <c r="K29" s="256">
        <v>-992.26570567744079</v>
      </c>
      <c r="L29" s="256">
        <v>-330.75523522581267</v>
      </c>
      <c r="M29" s="256">
        <v>-330.75523522581267</v>
      </c>
      <c r="N29" s="256">
        <v>-275.62936268817742</v>
      </c>
      <c r="O29" s="257">
        <v>-5953.5942340646316</v>
      </c>
    </row>
    <row r="30" spans="1:15" x14ac:dyDescent="0.25">
      <c r="A30" s="218"/>
      <c r="B30" s="95" t="s">
        <v>49</v>
      </c>
      <c r="C30" s="96">
        <v>5825.46</v>
      </c>
      <c r="D30" s="84">
        <v>4854.55</v>
      </c>
      <c r="E30" s="84">
        <v>4854.55</v>
      </c>
      <c r="F30" s="84">
        <v>6796.37</v>
      </c>
      <c r="G30" s="84">
        <v>3883.64</v>
      </c>
      <c r="H30" s="84">
        <v>13592.74</v>
      </c>
      <c r="I30" s="84">
        <v>12621.83</v>
      </c>
      <c r="J30" s="84">
        <v>18447.29</v>
      </c>
      <c r="K30" s="84">
        <v>17476.38</v>
      </c>
      <c r="L30" s="84">
        <v>5825.46</v>
      </c>
      <c r="M30" s="84">
        <v>5825.46</v>
      </c>
      <c r="N30" s="84">
        <v>4854.55</v>
      </c>
      <c r="O30" s="97">
        <v>104858.28000000001</v>
      </c>
    </row>
    <row r="31" spans="1:15" x14ac:dyDescent="0.25">
      <c r="A31" s="218"/>
      <c r="B31" s="95" t="s">
        <v>87</v>
      </c>
      <c r="C31" s="96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97">
        <v>0</v>
      </c>
    </row>
    <row r="32" spans="1:15" x14ac:dyDescent="0.25">
      <c r="A32" s="218"/>
      <c r="B32" s="95" t="s">
        <v>89</v>
      </c>
      <c r="C32" s="96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97">
        <v>0</v>
      </c>
    </row>
    <row r="33" spans="1:15" x14ac:dyDescent="0.25">
      <c r="A33" s="85" t="s">
        <v>16</v>
      </c>
      <c r="B33" s="85" t="s">
        <v>70</v>
      </c>
      <c r="C33" s="92">
        <v>3679.84</v>
      </c>
      <c r="D33" s="93">
        <v>4599.8</v>
      </c>
      <c r="E33" s="93">
        <v>919.96</v>
      </c>
      <c r="F33" s="93">
        <v>6439.72</v>
      </c>
      <c r="G33" s="93">
        <v>2759.88</v>
      </c>
      <c r="H33" s="93">
        <v>6439.72</v>
      </c>
      <c r="I33" s="93">
        <v>4599.8</v>
      </c>
      <c r="J33" s="93">
        <v>4599.8</v>
      </c>
      <c r="K33" s="93">
        <v>5519.76</v>
      </c>
      <c r="L33" s="93">
        <v>4599.8</v>
      </c>
      <c r="M33" s="93">
        <v>3679.84</v>
      </c>
      <c r="N33" s="93">
        <v>3679.84</v>
      </c>
      <c r="O33" s="94">
        <v>51517.760000000009</v>
      </c>
    </row>
    <row r="34" spans="1:15" ht="13" x14ac:dyDescent="0.3">
      <c r="A34" s="218"/>
      <c r="B34" s="95" t="s">
        <v>25</v>
      </c>
      <c r="C34" s="255">
        <v>-203.79999999999973</v>
      </c>
      <c r="D34" s="256">
        <v>-254.75</v>
      </c>
      <c r="E34" s="256">
        <v>-50.949999999999932</v>
      </c>
      <c r="F34" s="256">
        <v>-356.64999999999964</v>
      </c>
      <c r="G34" s="256">
        <v>-152.84999999999991</v>
      </c>
      <c r="H34" s="256">
        <v>-356.64999999999964</v>
      </c>
      <c r="I34" s="256">
        <v>-254.75</v>
      </c>
      <c r="J34" s="256">
        <v>-254.75</v>
      </c>
      <c r="K34" s="256">
        <v>-305.69999999999982</v>
      </c>
      <c r="L34" s="256">
        <v>-254.75</v>
      </c>
      <c r="M34" s="256">
        <v>-203.79999999999973</v>
      </c>
      <c r="N34" s="256">
        <v>-203.79999999999973</v>
      </c>
      <c r="O34" s="257">
        <v>-2853.199999999998</v>
      </c>
    </row>
    <row r="35" spans="1:15" ht="13" x14ac:dyDescent="0.3">
      <c r="A35" s="218"/>
      <c r="B35" s="95" t="s">
        <v>26</v>
      </c>
      <c r="C35" s="255">
        <v>-16.703490150541917</v>
      </c>
      <c r="D35" s="256">
        <v>-20.879362688177398</v>
      </c>
      <c r="E35" s="256">
        <v>-4.1758725376354793</v>
      </c>
      <c r="F35" s="256">
        <v>-29.231107763448357</v>
      </c>
      <c r="G35" s="256">
        <v>-12.527617612906438</v>
      </c>
      <c r="H35" s="256">
        <v>-29.231107763448357</v>
      </c>
      <c r="I35" s="256">
        <v>-20.879362688177398</v>
      </c>
      <c r="J35" s="256">
        <v>-20.879362688177398</v>
      </c>
      <c r="K35" s="256">
        <v>-25.055235225812876</v>
      </c>
      <c r="L35" s="256">
        <v>-20.879362688177398</v>
      </c>
      <c r="M35" s="256">
        <v>-16.703490150541917</v>
      </c>
      <c r="N35" s="256">
        <v>-16.703490150541917</v>
      </c>
      <c r="O35" s="257">
        <v>-233.84886210758683</v>
      </c>
    </row>
    <row r="36" spans="1:15" ht="13" x14ac:dyDescent="0.3">
      <c r="A36" s="218"/>
      <c r="B36" s="95" t="s">
        <v>27</v>
      </c>
      <c r="C36" s="255">
        <v>-220.50349015054164</v>
      </c>
      <c r="D36" s="256">
        <v>-275.62936268817742</v>
      </c>
      <c r="E36" s="256">
        <v>-55.125872537635409</v>
      </c>
      <c r="F36" s="256">
        <v>-385.88110776344797</v>
      </c>
      <c r="G36" s="256">
        <v>-165.37761761290633</v>
      </c>
      <c r="H36" s="256">
        <v>-385.88110776344797</v>
      </c>
      <c r="I36" s="256">
        <v>-275.62936268817742</v>
      </c>
      <c r="J36" s="256">
        <v>-275.62936268817742</v>
      </c>
      <c r="K36" s="256">
        <v>-330.75523522581267</v>
      </c>
      <c r="L36" s="256">
        <v>-275.62936268817742</v>
      </c>
      <c r="M36" s="256">
        <v>-220.50349015054164</v>
      </c>
      <c r="N36" s="256">
        <v>-220.50349015054164</v>
      </c>
      <c r="O36" s="257">
        <v>-3087.0488621075847</v>
      </c>
    </row>
    <row r="37" spans="1:15" x14ac:dyDescent="0.25">
      <c r="A37" s="218"/>
      <c r="B37" s="95" t="s">
        <v>49</v>
      </c>
      <c r="C37" s="96">
        <v>3883.64</v>
      </c>
      <c r="D37" s="84">
        <v>4854.55</v>
      </c>
      <c r="E37" s="84">
        <v>970.91</v>
      </c>
      <c r="F37" s="84">
        <v>6796.37</v>
      </c>
      <c r="G37" s="84">
        <v>2912.73</v>
      </c>
      <c r="H37" s="84">
        <v>6796.37</v>
      </c>
      <c r="I37" s="84">
        <v>4854.55</v>
      </c>
      <c r="J37" s="84">
        <v>4854.55</v>
      </c>
      <c r="K37" s="84">
        <v>5825.46</v>
      </c>
      <c r="L37" s="84">
        <v>4854.55</v>
      </c>
      <c r="M37" s="84">
        <v>3883.64</v>
      </c>
      <c r="N37" s="84">
        <v>3883.64</v>
      </c>
      <c r="O37" s="97">
        <v>54370.96</v>
      </c>
    </row>
    <row r="38" spans="1:15" x14ac:dyDescent="0.25">
      <c r="A38" s="218"/>
      <c r="B38" s="95" t="s">
        <v>87</v>
      </c>
      <c r="C38" s="96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97">
        <v>0</v>
      </c>
    </row>
    <row r="39" spans="1:15" x14ac:dyDescent="0.25">
      <c r="A39" s="218"/>
      <c r="B39" s="95" t="s">
        <v>89</v>
      </c>
      <c r="C39" s="96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97">
        <v>0</v>
      </c>
    </row>
    <row r="40" spans="1:15" x14ac:dyDescent="0.25">
      <c r="A40" s="85" t="s">
        <v>19</v>
      </c>
      <c r="B40" s="85" t="s">
        <v>70</v>
      </c>
      <c r="C40" s="92">
        <v>57957.48</v>
      </c>
      <c r="D40" s="93">
        <v>57957.48</v>
      </c>
      <c r="E40" s="93">
        <v>61637.32</v>
      </c>
      <c r="F40" s="93">
        <v>57037.520000000004</v>
      </c>
      <c r="G40" s="93">
        <v>46917.96</v>
      </c>
      <c r="H40" s="93">
        <v>61637.32</v>
      </c>
      <c r="I40" s="93">
        <v>60717.36</v>
      </c>
      <c r="J40" s="93">
        <v>56117.560000000005</v>
      </c>
      <c r="K40" s="93">
        <v>50597.8</v>
      </c>
      <c r="L40" s="93">
        <v>54277.64</v>
      </c>
      <c r="M40" s="93">
        <v>57957.48</v>
      </c>
      <c r="N40" s="93">
        <v>57957.48</v>
      </c>
      <c r="O40" s="94">
        <v>680770.39999999991</v>
      </c>
    </row>
    <row r="41" spans="1:15" ht="13" x14ac:dyDescent="0.3">
      <c r="A41" s="218"/>
      <c r="B41" s="95" t="s">
        <v>25</v>
      </c>
      <c r="C41" s="255">
        <v>-3209.8499999999913</v>
      </c>
      <c r="D41" s="256">
        <v>-3209.8499999999913</v>
      </c>
      <c r="E41" s="256">
        <v>-3413.6500000000015</v>
      </c>
      <c r="F41" s="256">
        <v>-3158.8999999999942</v>
      </c>
      <c r="G41" s="256">
        <v>-2598.4499999999971</v>
      </c>
      <c r="H41" s="256">
        <v>-3413.6500000000015</v>
      </c>
      <c r="I41" s="256">
        <v>-3362.6999999999971</v>
      </c>
      <c r="J41" s="256">
        <v>-3107.9499999999898</v>
      </c>
      <c r="K41" s="256">
        <v>-2802.2499999999927</v>
      </c>
      <c r="L41" s="256">
        <v>-3006.0499999999956</v>
      </c>
      <c r="M41" s="256">
        <v>-3209.8499999999913</v>
      </c>
      <c r="N41" s="256">
        <v>-3209.8499999999913</v>
      </c>
      <c r="O41" s="257">
        <v>-37702.999999999935</v>
      </c>
    </row>
    <row r="42" spans="1:15" ht="13" x14ac:dyDescent="0.3">
      <c r="A42" s="218"/>
      <c r="B42" s="95" t="s">
        <v>26</v>
      </c>
      <c r="C42" s="255">
        <v>-263.07996987103519</v>
      </c>
      <c r="D42" s="256">
        <v>-263.07996987103519</v>
      </c>
      <c r="E42" s="256">
        <v>-279.78346002157713</v>
      </c>
      <c r="F42" s="256">
        <v>-258.9040973333997</v>
      </c>
      <c r="G42" s="256">
        <v>-212.96949941940943</v>
      </c>
      <c r="H42" s="256">
        <v>-279.78346002157713</v>
      </c>
      <c r="I42" s="256">
        <v>-275.60758748394164</v>
      </c>
      <c r="J42" s="256">
        <v>-254.72822479576425</v>
      </c>
      <c r="K42" s="256">
        <v>-229.6729895699514</v>
      </c>
      <c r="L42" s="256">
        <v>-246.37647972049328</v>
      </c>
      <c r="M42" s="256">
        <v>-263.07996987103519</v>
      </c>
      <c r="N42" s="256">
        <v>-263.07996987103519</v>
      </c>
      <c r="O42" s="257">
        <v>-3090.1456778502547</v>
      </c>
    </row>
    <row r="43" spans="1:15" ht="13" x14ac:dyDescent="0.3">
      <c r="A43" s="218"/>
      <c r="B43" s="95" t="s">
        <v>27</v>
      </c>
      <c r="C43" s="255">
        <v>-3472.9299698710265</v>
      </c>
      <c r="D43" s="256">
        <v>-3472.9299698710265</v>
      </c>
      <c r="E43" s="256">
        <v>-3693.4334600215784</v>
      </c>
      <c r="F43" s="256">
        <v>-3417.8040973333937</v>
      </c>
      <c r="G43" s="256">
        <v>-2811.4194994194067</v>
      </c>
      <c r="H43" s="256">
        <v>-3693.4334600215784</v>
      </c>
      <c r="I43" s="256">
        <v>-3638.3075874839387</v>
      </c>
      <c r="J43" s="256">
        <v>-3362.678224795754</v>
      </c>
      <c r="K43" s="256">
        <v>-3031.9229895699441</v>
      </c>
      <c r="L43" s="256">
        <v>-3252.4264797204887</v>
      </c>
      <c r="M43" s="256">
        <v>-3472.9299698710265</v>
      </c>
      <c r="N43" s="256">
        <v>-3472.9299698710265</v>
      </c>
      <c r="O43" s="257">
        <v>-40793.145677850174</v>
      </c>
    </row>
    <row r="44" spans="1:15" x14ac:dyDescent="0.25">
      <c r="A44" s="218"/>
      <c r="B44" s="95" t="s">
        <v>49</v>
      </c>
      <c r="C44" s="96">
        <v>61167.329999999994</v>
      </c>
      <c r="D44" s="84">
        <v>61167.329999999994</v>
      </c>
      <c r="E44" s="84">
        <v>65050.97</v>
      </c>
      <c r="F44" s="84">
        <v>60196.42</v>
      </c>
      <c r="G44" s="84">
        <v>49516.409999999996</v>
      </c>
      <c r="H44" s="84">
        <v>65050.97</v>
      </c>
      <c r="I44" s="84">
        <v>64080.06</v>
      </c>
      <c r="J44" s="84">
        <v>59225.509999999995</v>
      </c>
      <c r="K44" s="84">
        <v>53400.049999999996</v>
      </c>
      <c r="L44" s="84">
        <v>57283.689999999995</v>
      </c>
      <c r="M44" s="84">
        <v>61167.329999999994</v>
      </c>
      <c r="N44" s="84">
        <v>61167.329999999994</v>
      </c>
      <c r="O44" s="97">
        <v>718473.39999999979</v>
      </c>
    </row>
    <row r="45" spans="1:15" x14ac:dyDescent="0.25">
      <c r="A45" s="218"/>
      <c r="B45" s="95" t="s">
        <v>87</v>
      </c>
      <c r="C45" s="96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4">
        <v>0</v>
      </c>
      <c r="O45" s="97">
        <v>0</v>
      </c>
    </row>
    <row r="46" spans="1:15" x14ac:dyDescent="0.25">
      <c r="A46" s="218"/>
      <c r="B46" s="95" t="s">
        <v>89</v>
      </c>
      <c r="C46" s="96">
        <v>0</v>
      </c>
      <c r="D46" s="84">
        <v>0</v>
      </c>
      <c r="E46" s="84">
        <v>0</v>
      </c>
      <c r="F46" s="84">
        <v>0</v>
      </c>
      <c r="G46" s="84">
        <v>0</v>
      </c>
      <c r="H46" s="84">
        <v>0</v>
      </c>
      <c r="I46" s="84">
        <v>0</v>
      </c>
      <c r="J46" s="84">
        <v>0</v>
      </c>
      <c r="K46" s="84">
        <v>0</v>
      </c>
      <c r="L46" s="84">
        <v>0</v>
      </c>
      <c r="M46" s="84">
        <v>0</v>
      </c>
      <c r="N46" s="84">
        <v>0</v>
      </c>
      <c r="O46" s="97">
        <v>0</v>
      </c>
    </row>
    <row r="47" spans="1:15" x14ac:dyDescent="0.25">
      <c r="A47" s="85" t="s">
        <v>8</v>
      </c>
      <c r="B47" s="85" t="s">
        <v>70</v>
      </c>
      <c r="C47" s="92">
        <v>77276.639999999999</v>
      </c>
      <c r="D47" s="93">
        <v>76356.680000000008</v>
      </c>
      <c r="E47" s="93">
        <v>69916.960000000006</v>
      </c>
      <c r="F47" s="93">
        <v>63477.240000000005</v>
      </c>
      <c r="G47" s="93">
        <v>91076.040000000008</v>
      </c>
      <c r="H47" s="93">
        <v>137074.04</v>
      </c>
      <c r="I47" s="93">
        <v>136154.08000000002</v>
      </c>
      <c r="J47" s="93">
        <v>147193.60000000001</v>
      </c>
      <c r="K47" s="93">
        <v>142593.80000000002</v>
      </c>
      <c r="L47" s="93">
        <v>101195.6</v>
      </c>
      <c r="M47" s="93">
        <v>64397.200000000004</v>
      </c>
      <c r="N47" s="93">
        <v>60717.36</v>
      </c>
      <c r="O47" s="94">
        <v>1167429.2400000002</v>
      </c>
    </row>
    <row r="48" spans="1:15" ht="13" x14ac:dyDescent="0.3">
      <c r="A48" s="218"/>
      <c r="B48" s="95" t="s">
        <v>25</v>
      </c>
      <c r="C48" s="255">
        <v>-4279.8000000000029</v>
      </c>
      <c r="D48" s="256">
        <v>-4228.8499999999913</v>
      </c>
      <c r="E48" s="256">
        <v>-3872.1999999999971</v>
      </c>
      <c r="F48" s="256">
        <v>-3515.5499999999884</v>
      </c>
      <c r="G48" s="256">
        <v>-5044.0499999999884</v>
      </c>
      <c r="H48" s="256">
        <v>-7591.5499999999884</v>
      </c>
      <c r="I48" s="256">
        <v>-7540.5999999999767</v>
      </c>
      <c r="J48" s="256">
        <v>-8152</v>
      </c>
      <c r="K48" s="256">
        <v>-7897.2499999999709</v>
      </c>
      <c r="L48" s="256">
        <v>-5604.4999999999854</v>
      </c>
      <c r="M48" s="256">
        <v>-3566.4999999999927</v>
      </c>
      <c r="N48" s="256">
        <v>-3362.6999999999971</v>
      </c>
      <c r="O48" s="257">
        <v>-64655.549999999879</v>
      </c>
    </row>
    <row r="49" spans="1:15" ht="13" x14ac:dyDescent="0.3">
      <c r="A49" s="218"/>
      <c r="B49" s="95" t="s">
        <v>26</v>
      </c>
      <c r="C49" s="255">
        <v>-350.77329316138025</v>
      </c>
      <c r="D49" s="256">
        <v>-346.59742062374482</v>
      </c>
      <c r="E49" s="256">
        <v>-317.36631286029649</v>
      </c>
      <c r="F49" s="256">
        <v>-288.1352050968481</v>
      </c>
      <c r="G49" s="256">
        <v>-413.41138122591252</v>
      </c>
      <c r="H49" s="256">
        <v>-622.20500810768647</v>
      </c>
      <c r="I49" s="256">
        <v>-618.02913557005093</v>
      </c>
      <c r="J49" s="256">
        <v>-668.13960602167674</v>
      </c>
      <c r="K49" s="256">
        <v>-647.26024333349926</v>
      </c>
      <c r="L49" s="256">
        <v>-459.34597913990279</v>
      </c>
      <c r="M49" s="256">
        <v>-292.31107763448358</v>
      </c>
      <c r="N49" s="256">
        <v>-275.60758748394164</v>
      </c>
      <c r="O49" s="257">
        <v>-5299.1822502594241</v>
      </c>
    </row>
    <row r="50" spans="1:15" ht="13" x14ac:dyDescent="0.3">
      <c r="A50" s="218"/>
      <c r="B50" s="95" t="s">
        <v>27</v>
      </c>
      <c r="C50" s="255">
        <v>-4630.5732931613829</v>
      </c>
      <c r="D50" s="256">
        <v>-4575.4474206237364</v>
      </c>
      <c r="E50" s="256">
        <v>-4189.5663128602937</v>
      </c>
      <c r="F50" s="256">
        <v>-3803.6852050968364</v>
      </c>
      <c r="G50" s="256">
        <v>-5457.4613812259013</v>
      </c>
      <c r="H50" s="256">
        <v>-8213.7550081076752</v>
      </c>
      <c r="I50" s="256">
        <v>-8158.6291355700278</v>
      </c>
      <c r="J50" s="256">
        <v>-8820.1396060216775</v>
      </c>
      <c r="K50" s="256">
        <v>-8544.5102433334705</v>
      </c>
      <c r="L50" s="256">
        <v>-6063.8459791398882</v>
      </c>
      <c r="M50" s="256">
        <v>-3858.8110776344765</v>
      </c>
      <c r="N50" s="256">
        <v>-3638.3075874839387</v>
      </c>
      <c r="O50" s="257">
        <v>-69954.732250259302</v>
      </c>
    </row>
    <row r="51" spans="1:15" x14ac:dyDescent="0.25">
      <c r="A51" s="218"/>
      <c r="B51" s="95" t="s">
        <v>49</v>
      </c>
      <c r="C51" s="96">
        <v>81556.44</v>
      </c>
      <c r="D51" s="84">
        <v>80585.53</v>
      </c>
      <c r="E51" s="84">
        <v>73789.16</v>
      </c>
      <c r="F51" s="84">
        <v>66992.789999999994</v>
      </c>
      <c r="G51" s="84">
        <v>96120.09</v>
      </c>
      <c r="H51" s="84">
        <v>144665.59</v>
      </c>
      <c r="I51" s="84">
        <v>143694.68</v>
      </c>
      <c r="J51" s="84">
        <v>155345.60000000001</v>
      </c>
      <c r="K51" s="84">
        <v>150491.04999999999</v>
      </c>
      <c r="L51" s="84">
        <v>106800.09999999999</v>
      </c>
      <c r="M51" s="84">
        <v>67963.7</v>
      </c>
      <c r="N51" s="84">
        <v>64080.06</v>
      </c>
      <c r="O51" s="97">
        <v>1232084.79</v>
      </c>
    </row>
    <row r="52" spans="1:15" x14ac:dyDescent="0.25">
      <c r="A52" s="218"/>
      <c r="B52" s="95" t="s">
        <v>87</v>
      </c>
      <c r="C52" s="96">
        <v>0</v>
      </c>
      <c r="D52" s="84">
        <v>0</v>
      </c>
      <c r="E52" s="84">
        <v>0</v>
      </c>
      <c r="F52" s="84">
        <v>0</v>
      </c>
      <c r="G52" s="84">
        <v>0</v>
      </c>
      <c r="H52" s="84">
        <v>0</v>
      </c>
      <c r="I52" s="84">
        <v>0</v>
      </c>
      <c r="J52" s="84">
        <v>0</v>
      </c>
      <c r="K52" s="84">
        <v>0</v>
      </c>
      <c r="L52" s="84">
        <v>0</v>
      </c>
      <c r="M52" s="84">
        <v>0</v>
      </c>
      <c r="N52" s="84">
        <v>0</v>
      </c>
      <c r="O52" s="97">
        <v>0</v>
      </c>
    </row>
    <row r="53" spans="1:15" x14ac:dyDescent="0.25">
      <c r="A53" s="218"/>
      <c r="B53" s="95" t="s">
        <v>89</v>
      </c>
      <c r="C53" s="96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0</v>
      </c>
      <c r="M53" s="84">
        <v>0</v>
      </c>
      <c r="N53" s="84">
        <v>0</v>
      </c>
      <c r="O53" s="97">
        <v>0</v>
      </c>
    </row>
    <row r="54" spans="1:15" x14ac:dyDescent="0.25">
      <c r="A54" s="85" t="s">
        <v>21</v>
      </c>
      <c r="B54" s="85" t="s">
        <v>70</v>
      </c>
      <c r="C54" s="92">
        <v>2585087.6</v>
      </c>
      <c r="D54" s="93">
        <v>2549209.16</v>
      </c>
      <c r="E54" s="93">
        <v>2197784.44</v>
      </c>
      <c r="F54" s="93">
        <v>2200544.3200000003</v>
      </c>
      <c r="G54" s="93">
        <v>2972390.7600000002</v>
      </c>
      <c r="H54" s="93">
        <v>3771836</v>
      </c>
      <c r="I54" s="93">
        <v>3668800.48</v>
      </c>
      <c r="J54" s="93">
        <v>3923629.4000000004</v>
      </c>
      <c r="K54" s="93">
        <v>3694559.3600000003</v>
      </c>
      <c r="L54" s="93">
        <v>2856475.8000000003</v>
      </c>
      <c r="M54" s="93">
        <v>2311859.48</v>
      </c>
      <c r="N54" s="93">
        <v>2275981.04</v>
      </c>
      <c r="O54" s="94">
        <v>35008157.839999996</v>
      </c>
    </row>
    <row r="55" spans="1:15" ht="13" x14ac:dyDescent="0.3">
      <c r="A55" s="218"/>
      <c r="B55" s="95" t="s">
        <v>25</v>
      </c>
      <c r="C55" s="255">
        <v>-143169.5</v>
      </c>
      <c r="D55" s="256">
        <v>-141182.44999999972</v>
      </c>
      <c r="E55" s="256">
        <v>-121719.54999999981</v>
      </c>
      <c r="F55" s="256">
        <v>-121872.39999999944</v>
      </c>
      <c r="G55" s="256">
        <v>-164619.44999999972</v>
      </c>
      <c r="H55" s="256">
        <v>-208895</v>
      </c>
      <c r="I55" s="256">
        <v>-203188.60000000009</v>
      </c>
      <c r="J55" s="256">
        <v>-217301.74999999953</v>
      </c>
      <c r="K55" s="256">
        <v>-204615.19999999972</v>
      </c>
      <c r="L55" s="256">
        <v>-158199.74999999953</v>
      </c>
      <c r="M55" s="256">
        <v>-128037.35000000009</v>
      </c>
      <c r="N55" s="256">
        <v>-126050.29999999981</v>
      </c>
      <c r="O55" s="257">
        <v>-1938851.2999999975</v>
      </c>
    </row>
    <row r="56" spans="1:15" ht="13" x14ac:dyDescent="0.3">
      <c r="A56" s="218"/>
      <c r="B56" s="95" t="s">
        <v>26</v>
      </c>
      <c r="C56" s="255">
        <v>-11734.201830755697</v>
      </c>
      <c r="D56" s="256">
        <v>-11571.342801787914</v>
      </c>
      <c r="E56" s="256">
        <v>-9976.1594924111614</v>
      </c>
      <c r="F56" s="256">
        <v>-9988.6871100240678</v>
      </c>
      <c r="G56" s="256">
        <v>-13492.244169100233</v>
      </c>
      <c r="H56" s="256">
        <v>-17121.077404305466</v>
      </c>
      <c r="I56" s="256">
        <v>-16653.379680090293</v>
      </c>
      <c r="J56" s="256">
        <v>-17810.09637301532</v>
      </c>
      <c r="K56" s="256">
        <v>-16770.304111144087</v>
      </c>
      <c r="L56" s="256">
        <v>-12966.084229358165</v>
      </c>
      <c r="M56" s="256">
        <v>-10493.96768707796</v>
      </c>
      <c r="N56" s="256">
        <v>-10331.108658110177</v>
      </c>
      <c r="O56" s="257">
        <v>-158908.65354718053</v>
      </c>
    </row>
    <row r="57" spans="1:15" ht="13" x14ac:dyDescent="0.3">
      <c r="A57" s="218"/>
      <c r="B57" s="95" t="s">
        <v>27</v>
      </c>
      <c r="C57" s="255">
        <v>-154903.70183075569</v>
      </c>
      <c r="D57" s="256">
        <v>-152753.79280178764</v>
      </c>
      <c r="E57" s="256">
        <v>-131695.70949241097</v>
      </c>
      <c r="F57" s="256">
        <v>-131861.08711002351</v>
      </c>
      <c r="G57" s="256">
        <v>-178111.69416909997</v>
      </c>
      <c r="H57" s="256">
        <v>-226016.07740430546</v>
      </c>
      <c r="I57" s="256">
        <v>-219841.97968009039</v>
      </c>
      <c r="J57" s="256">
        <v>-235111.84637301485</v>
      </c>
      <c r="K57" s="256">
        <v>-221385.50411114382</v>
      </c>
      <c r="L57" s="256">
        <v>-171165.83422935769</v>
      </c>
      <c r="M57" s="256">
        <v>-138531.31768707806</v>
      </c>
      <c r="N57" s="256">
        <v>-136381.40865810998</v>
      </c>
      <c r="O57" s="257">
        <v>-2097759.9535471778</v>
      </c>
    </row>
    <row r="58" spans="1:15" x14ac:dyDescent="0.25">
      <c r="A58" s="218"/>
      <c r="B58" s="95" t="s">
        <v>49</v>
      </c>
      <c r="C58" s="96">
        <v>2728257.1</v>
      </c>
      <c r="D58" s="84">
        <v>2690391.61</v>
      </c>
      <c r="E58" s="84">
        <v>2319503.9899999998</v>
      </c>
      <c r="F58" s="84">
        <v>2322416.7199999997</v>
      </c>
      <c r="G58" s="84">
        <v>3137010.21</v>
      </c>
      <c r="H58" s="84">
        <v>3980731</v>
      </c>
      <c r="I58" s="84">
        <v>3871989.08</v>
      </c>
      <c r="J58" s="84">
        <v>4140931.15</v>
      </c>
      <c r="K58" s="84">
        <v>3899174.56</v>
      </c>
      <c r="L58" s="84">
        <v>3014675.55</v>
      </c>
      <c r="M58" s="84">
        <v>2439896.83</v>
      </c>
      <c r="N58" s="84">
        <v>2402031.34</v>
      </c>
      <c r="O58" s="97">
        <v>36947009.140000001</v>
      </c>
    </row>
    <row r="59" spans="1:15" x14ac:dyDescent="0.25">
      <c r="A59" s="218"/>
      <c r="B59" s="95" t="s">
        <v>87</v>
      </c>
      <c r="C59" s="96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0</v>
      </c>
      <c r="M59" s="84">
        <v>0</v>
      </c>
      <c r="N59" s="84">
        <v>0</v>
      </c>
      <c r="O59" s="97">
        <v>0</v>
      </c>
    </row>
    <row r="60" spans="1:15" x14ac:dyDescent="0.25">
      <c r="A60" s="218"/>
      <c r="B60" s="95" t="s">
        <v>89</v>
      </c>
      <c r="C60" s="96">
        <v>0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4">
        <v>0</v>
      </c>
      <c r="L60" s="84">
        <v>0</v>
      </c>
      <c r="M60" s="84">
        <v>0</v>
      </c>
      <c r="N60" s="84">
        <v>0</v>
      </c>
      <c r="O60" s="97">
        <v>0</v>
      </c>
    </row>
    <row r="61" spans="1:15" x14ac:dyDescent="0.25">
      <c r="A61" s="85" t="s">
        <v>22</v>
      </c>
      <c r="B61" s="85" t="s">
        <v>70</v>
      </c>
      <c r="C61" s="92">
        <v>2505971.04</v>
      </c>
      <c r="D61" s="93">
        <v>2536329.7200000002</v>
      </c>
      <c r="E61" s="93">
        <v>2429614.36</v>
      </c>
      <c r="F61" s="93">
        <v>2223543.3200000003</v>
      </c>
      <c r="G61" s="93">
        <v>2616366.2400000002</v>
      </c>
      <c r="H61" s="93">
        <v>3219860</v>
      </c>
      <c r="I61" s="93">
        <v>3283337.24</v>
      </c>
      <c r="J61" s="93">
        <v>3464569.3600000003</v>
      </c>
      <c r="K61" s="93">
        <v>3179381.7600000002</v>
      </c>
      <c r="L61" s="93">
        <v>2585087.6</v>
      </c>
      <c r="M61" s="93">
        <v>2298980.04</v>
      </c>
      <c r="N61" s="93">
        <v>2329338.7200000002</v>
      </c>
      <c r="O61" s="94">
        <v>32672379.400000002</v>
      </c>
    </row>
    <row r="62" spans="1:15" ht="13" x14ac:dyDescent="0.3">
      <c r="A62" s="218"/>
      <c r="B62" s="95" t="s">
        <v>25</v>
      </c>
      <c r="C62" s="255">
        <v>-138787.79999999981</v>
      </c>
      <c r="D62" s="256">
        <v>-140469.14999999991</v>
      </c>
      <c r="E62" s="256">
        <v>-134558.95000000019</v>
      </c>
      <c r="F62" s="256">
        <v>-123146.14999999944</v>
      </c>
      <c r="G62" s="256">
        <v>-144901.79999999981</v>
      </c>
      <c r="H62" s="256">
        <v>-178325</v>
      </c>
      <c r="I62" s="256">
        <v>-181840.54999999981</v>
      </c>
      <c r="J62" s="256">
        <v>-191877.69999999972</v>
      </c>
      <c r="K62" s="256">
        <v>-176083.19999999972</v>
      </c>
      <c r="L62" s="256">
        <v>-143169.5</v>
      </c>
      <c r="M62" s="256">
        <v>-127324.04999999981</v>
      </c>
      <c r="N62" s="256">
        <v>-129005.39999999991</v>
      </c>
      <c r="O62" s="257">
        <v>-1809489.2499999981</v>
      </c>
    </row>
    <row r="63" spans="1:15" ht="13" x14ac:dyDescent="0.3">
      <c r="A63" s="218"/>
      <c r="B63" s="95" t="s">
        <v>26</v>
      </c>
      <c r="C63" s="255">
        <v>-11375.076792519047</v>
      </c>
      <c r="D63" s="256">
        <v>-11512.880586261017</v>
      </c>
      <c r="E63" s="256">
        <v>-11028.479371895302</v>
      </c>
      <c r="F63" s="256">
        <v>-10093.083923464954</v>
      </c>
      <c r="G63" s="256">
        <v>-11876.181497035304</v>
      </c>
      <c r="H63" s="256">
        <v>-14615.553881724178</v>
      </c>
      <c r="I63" s="256">
        <v>-14903.689086821027</v>
      </c>
      <c r="J63" s="256">
        <v>-15726.335976735216</v>
      </c>
      <c r="K63" s="256">
        <v>-14431.815490068218</v>
      </c>
      <c r="L63" s="256">
        <v>-11734.201830755697</v>
      </c>
      <c r="M63" s="256">
        <v>-10435.505471551063</v>
      </c>
      <c r="N63" s="256">
        <v>-10573.309265293034</v>
      </c>
      <c r="O63" s="257">
        <v>-148306.11317412407</v>
      </c>
    </row>
    <row r="64" spans="1:15" ht="13" x14ac:dyDescent="0.3">
      <c r="A64" s="218"/>
      <c r="B64" s="95" t="s">
        <v>27</v>
      </c>
      <c r="C64" s="255">
        <v>-150162.87679251886</v>
      </c>
      <c r="D64" s="256">
        <v>-151982.03058626092</v>
      </c>
      <c r="E64" s="256">
        <v>-145587.4293718955</v>
      </c>
      <c r="F64" s="256">
        <v>-133239.2339234644</v>
      </c>
      <c r="G64" s="256">
        <v>-156777.98149703513</v>
      </c>
      <c r="H64" s="256">
        <v>-192940.55388172419</v>
      </c>
      <c r="I64" s="256">
        <v>-196744.23908682083</v>
      </c>
      <c r="J64" s="256">
        <v>-207604.03597673494</v>
      </c>
      <c r="K64" s="256">
        <v>-190515.01549006795</v>
      </c>
      <c r="L64" s="256">
        <v>-154903.70183075569</v>
      </c>
      <c r="M64" s="256">
        <v>-137759.55547155088</v>
      </c>
      <c r="N64" s="256">
        <v>-139578.70926529294</v>
      </c>
      <c r="O64" s="257">
        <v>-1957795.3631741221</v>
      </c>
    </row>
    <row r="65" spans="1:15" x14ac:dyDescent="0.25">
      <c r="A65" s="218"/>
      <c r="B65" s="95" t="s">
        <v>49</v>
      </c>
      <c r="C65" s="96">
        <v>2644758.84</v>
      </c>
      <c r="D65" s="84">
        <v>2676798.87</v>
      </c>
      <c r="E65" s="84">
        <v>2564173.31</v>
      </c>
      <c r="F65" s="84">
        <v>2346689.4699999997</v>
      </c>
      <c r="G65" s="84">
        <v>2761268.04</v>
      </c>
      <c r="H65" s="84">
        <v>3398185</v>
      </c>
      <c r="I65" s="84">
        <v>3465177.79</v>
      </c>
      <c r="J65" s="84">
        <v>3656447.06</v>
      </c>
      <c r="K65" s="84">
        <v>3355464.96</v>
      </c>
      <c r="L65" s="84">
        <v>2728257.1</v>
      </c>
      <c r="M65" s="84">
        <v>2426304.09</v>
      </c>
      <c r="N65" s="84">
        <v>2458344.12</v>
      </c>
      <c r="O65" s="97">
        <v>34481868.649999999</v>
      </c>
    </row>
    <row r="66" spans="1:15" x14ac:dyDescent="0.25">
      <c r="A66" s="218"/>
      <c r="B66" s="95" t="s">
        <v>87</v>
      </c>
      <c r="C66" s="96">
        <v>0</v>
      </c>
      <c r="D66" s="84">
        <v>0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0</v>
      </c>
      <c r="M66" s="84">
        <v>0</v>
      </c>
      <c r="N66" s="84">
        <v>0</v>
      </c>
      <c r="O66" s="97">
        <v>0</v>
      </c>
    </row>
    <row r="67" spans="1:15" x14ac:dyDescent="0.25">
      <c r="A67" s="218"/>
      <c r="B67" s="95" t="s">
        <v>89</v>
      </c>
      <c r="C67" s="96">
        <v>0</v>
      </c>
      <c r="D67" s="84">
        <v>0</v>
      </c>
      <c r="E67" s="84">
        <v>0</v>
      </c>
      <c r="F67" s="84">
        <v>0</v>
      </c>
      <c r="G67" s="84">
        <v>0</v>
      </c>
      <c r="H67" s="84">
        <v>0</v>
      </c>
      <c r="I67" s="84">
        <v>0</v>
      </c>
      <c r="J67" s="84">
        <v>0</v>
      </c>
      <c r="K67" s="84">
        <v>0</v>
      </c>
      <c r="L67" s="84">
        <v>0</v>
      </c>
      <c r="M67" s="84">
        <v>0</v>
      </c>
      <c r="N67" s="84">
        <v>0</v>
      </c>
      <c r="O67" s="97">
        <v>0</v>
      </c>
    </row>
    <row r="68" spans="1:15" x14ac:dyDescent="0.25">
      <c r="A68" s="85" t="s">
        <v>9</v>
      </c>
      <c r="B68" s="85" t="s">
        <v>70</v>
      </c>
      <c r="C68" s="92">
        <v>48757.880000000005</v>
      </c>
      <c r="D68" s="93">
        <v>50597.8</v>
      </c>
      <c r="E68" s="93">
        <v>42318.16</v>
      </c>
      <c r="F68" s="93">
        <v>30358.68</v>
      </c>
      <c r="G68" s="93">
        <v>40478.240000000005</v>
      </c>
      <c r="H68" s="93">
        <v>50597.8</v>
      </c>
      <c r="I68" s="93">
        <v>52437.72</v>
      </c>
      <c r="J68" s="93">
        <v>51517.760000000002</v>
      </c>
      <c r="K68" s="93">
        <v>55197.600000000006</v>
      </c>
      <c r="L68" s="93">
        <v>44158.080000000002</v>
      </c>
      <c r="M68" s="93">
        <v>49677.840000000004</v>
      </c>
      <c r="N68" s="93">
        <v>50597.8</v>
      </c>
      <c r="O68" s="94">
        <v>566695.3600000001</v>
      </c>
    </row>
    <row r="69" spans="1:15" ht="13" x14ac:dyDescent="0.3">
      <c r="A69" s="218"/>
      <c r="B69" s="95" t="s">
        <v>25</v>
      </c>
      <c r="C69" s="255">
        <v>-2700.3499999999913</v>
      </c>
      <c r="D69" s="256">
        <v>-2802.2499999999927</v>
      </c>
      <c r="E69" s="256">
        <v>-2343.6999999999971</v>
      </c>
      <c r="F69" s="256">
        <v>-1681.3499999999985</v>
      </c>
      <c r="G69" s="256">
        <v>-2241.7999999999956</v>
      </c>
      <c r="H69" s="256">
        <v>-2802.2499999999927</v>
      </c>
      <c r="I69" s="256">
        <v>-2904.1499999999942</v>
      </c>
      <c r="J69" s="256">
        <v>-2853.1999999999971</v>
      </c>
      <c r="K69" s="256">
        <v>-3056.9999999999927</v>
      </c>
      <c r="L69" s="256">
        <v>-2445.5999999999985</v>
      </c>
      <c r="M69" s="256">
        <v>-2751.2999999999956</v>
      </c>
      <c r="N69" s="256">
        <v>-2802.2499999999927</v>
      </c>
      <c r="O69" s="257">
        <v>-31385.199999999939</v>
      </c>
    </row>
    <row r="70" spans="1:15" ht="13" x14ac:dyDescent="0.3">
      <c r="A70" s="218"/>
      <c r="B70" s="95" t="s">
        <v>26</v>
      </c>
      <c r="C70" s="255">
        <v>-221.32124449468043</v>
      </c>
      <c r="D70" s="256">
        <v>-229.6729895699514</v>
      </c>
      <c r="E70" s="256">
        <v>-192.09013673123206</v>
      </c>
      <c r="F70" s="256">
        <v>-137.80379374197082</v>
      </c>
      <c r="G70" s="256">
        <v>-183.73839165596112</v>
      </c>
      <c r="H70" s="256">
        <v>-229.6729895699514</v>
      </c>
      <c r="I70" s="256">
        <v>-238.02473464522234</v>
      </c>
      <c r="J70" s="256">
        <v>-233.84886210758685</v>
      </c>
      <c r="K70" s="256">
        <v>-250.55235225812876</v>
      </c>
      <c r="L70" s="256">
        <v>-200.44188180650301</v>
      </c>
      <c r="M70" s="256">
        <v>-225.49711703231591</v>
      </c>
      <c r="N70" s="256">
        <v>-229.6729895699514</v>
      </c>
      <c r="O70" s="257">
        <v>-2572.3374831834558</v>
      </c>
    </row>
    <row r="71" spans="1:15" ht="13" x14ac:dyDescent="0.3">
      <c r="A71" s="218"/>
      <c r="B71" s="95" t="s">
        <v>27</v>
      </c>
      <c r="C71" s="255">
        <v>-2921.6712444946716</v>
      </c>
      <c r="D71" s="256">
        <v>-3031.9229895699441</v>
      </c>
      <c r="E71" s="256">
        <v>-2535.7901367312293</v>
      </c>
      <c r="F71" s="256">
        <v>-1819.1537937419694</v>
      </c>
      <c r="G71" s="256">
        <v>-2425.5383916559567</v>
      </c>
      <c r="H71" s="256">
        <v>-3031.9229895699441</v>
      </c>
      <c r="I71" s="256">
        <v>-3142.1747346452166</v>
      </c>
      <c r="J71" s="256">
        <v>-3087.0488621075838</v>
      </c>
      <c r="K71" s="256">
        <v>-3307.5523522581216</v>
      </c>
      <c r="L71" s="256">
        <v>-2646.0418818065014</v>
      </c>
      <c r="M71" s="256">
        <v>-2976.7971170323117</v>
      </c>
      <c r="N71" s="256">
        <v>-3031.9229895699441</v>
      </c>
      <c r="O71" s="257">
        <v>-33957.537483183391</v>
      </c>
    </row>
    <row r="72" spans="1:15" x14ac:dyDescent="0.25">
      <c r="A72" s="218"/>
      <c r="B72" s="95" t="s">
        <v>49</v>
      </c>
      <c r="C72" s="96">
        <v>51458.229999999996</v>
      </c>
      <c r="D72" s="84">
        <v>53400.049999999996</v>
      </c>
      <c r="E72" s="84">
        <v>44661.86</v>
      </c>
      <c r="F72" s="84">
        <v>32040.03</v>
      </c>
      <c r="G72" s="84">
        <v>42720.04</v>
      </c>
      <c r="H72" s="84">
        <v>53400.049999999996</v>
      </c>
      <c r="I72" s="84">
        <v>55341.869999999995</v>
      </c>
      <c r="J72" s="84">
        <v>54370.96</v>
      </c>
      <c r="K72" s="84">
        <v>58254.6</v>
      </c>
      <c r="L72" s="84">
        <v>46603.68</v>
      </c>
      <c r="M72" s="84">
        <v>52429.14</v>
      </c>
      <c r="N72" s="84">
        <v>53400.049999999996</v>
      </c>
      <c r="O72" s="97">
        <v>598080.56000000006</v>
      </c>
    </row>
    <row r="73" spans="1:15" x14ac:dyDescent="0.25">
      <c r="A73" s="218"/>
      <c r="B73" s="95" t="s">
        <v>87</v>
      </c>
      <c r="C73" s="96">
        <v>0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97">
        <v>0</v>
      </c>
    </row>
    <row r="74" spans="1:15" x14ac:dyDescent="0.25">
      <c r="A74" s="218"/>
      <c r="B74" s="95" t="s">
        <v>89</v>
      </c>
      <c r="C74" s="96">
        <v>0</v>
      </c>
      <c r="D74" s="84">
        <v>0</v>
      </c>
      <c r="E74" s="84">
        <v>0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97">
        <v>0</v>
      </c>
    </row>
    <row r="75" spans="1:15" x14ac:dyDescent="0.25">
      <c r="A75" s="85" t="s">
        <v>54</v>
      </c>
      <c r="B75" s="85" t="s">
        <v>70</v>
      </c>
      <c r="C75" s="92">
        <v>103955.48000000001</v>
      </c>
      <c r="D75" s="93">
        <v>99355.680000000008</v>
      </c>
      <c r="E75" s="93">
        <v>88316.160000000003</v>
      </c>
      <c r="F75" s="93">
        <v>83716.36</v>
      </c>
      <c r="G75" s="93">
        <v>114995</v>
      </c>
      <c r="H75" s="93">
        <v>153633.32</v>
      </c>
      <c r="I75" s="93">
        <v>147193.60000000001</v>
      </c>
      <c r="J75" s="93">
        <v>166512.76</v>
      </c>
      <c r="K75" s="93">
        <v>144433.72</v>
      </c>
      <c r="L75" s="93">
        <v>108555.28</v>
      </c>
      <c r="M75" s="93">
        <v>93835.92</v>
      </c>
      <c r="N75" s="93">
        <v>91076.040000000008</v>
      </c>
      <c r="O75" s="94">
        <v>1395579.32</v>
      </c>
    </row>
    <row r="76" spans="1:15" x14ac:dyDescent="0.25">
      <c r="A76" s="218"/>
      <c r="B76" s="95" t="s">
        <v>25</v>
      </c>
      <c r="C76" s="96">
        <v>-5757.3499999999913</v>
      </c>
      <c r="D76" s="84">
        <v>-5502.5999999999913</v>
      </c>
      <c r="E76" s="84">
        <v>-4891.1999999999971</v>
      </c>
      <c r="F76" s="84">
        <v>-4636.4499999999971</v>
      </c>
      <c r="G76" s="84">
        <v>-6368.75</v>
      </c>
      <c r="H76" s="84">
        <v>-8508.6499999999942</v>
      </c>
      <c r="I76" s="84">
        <v>-8152</v>
      </c>
      <c r="J76" s="84">
        <v>-9221.9499999999825</v>
      </c>
      <c r="K76" s="84">
        <v>-7999.1499999999942</v>
      </c>
      <c r="L76" s="84">
        <v>-6012.0999999999913</v>
      </c>
      <c r="M76" s="84">
        <v>-5196.8999999999942</v>
      </c>
      <c r="N76" s="84">
        <v>-5044.0499999999884</v>
      </c>
      <c r="O76" s="97">
        <v>-77291.149999999921</v>
      </c>
    </row>
    <row r="77" spans="1:15" x14ac:dyDescent="0.25">
      <c r="A77" s="218"/>
      <c r="B77" s="95" t="s">
        <v>26</v>
      </c>
      <c r="C77" s="96">
        <v>-471.87359675280914</v>
      </c>
      <c r="D77" s="84">
        <v>-450.99423406463183</v>
      </c>
      <c r="E77" s="84">
        <v>-400.88376361300601</v>
      </c>
      <c r="F77" s="84">
        <v>-380.00440092482864</v>
      </c>
      <c r="G77" s="84">
        <v>-521.98406720443495</v>
      </c>
      <c r="H77" s="84">
        <v>-697.37071378512508</v>
      </c>
      <c r="I77" s="84">
        <v>-668.13960602167674</v>
      </c>
      <c r="J77" s="84">
        <v>-755.83292931202175</v>
      </c>
      <c r="K77" s="84">
        <v>-655.61198840877023</v>
      </c>
      <c r="L77" s="84">
        <v>-492.75295944098656</v>
      </c>
      <c r="M77" s="84">
        <v>-425.93899883881886</v>
      </c>
      <c r="N77" s="84">
        <v>-413.41138122591252</v>
      </c>
      <c r="O77" s="97">
        <v>-6334.798639593022</v>
      </c>
    </row>
    <row r="78" spans="1:15" x14ac:dyDescent="0.25">
      <c r="A78" s="218"/>
      <c r="B78" s="95" t="s">
        <v>27</v>
      </c>
      <c r="C78" s="96">
        <v>-6229.2235967528004</v>
      </c>
      <c r="D78" s="84">
        <v>-5953.5942340646234</v>
      </c>
      <c r="E78" s="84">
        <v>-5292.0837636130027</v>
      </c>
      <c r="F78" s="84">
        <v>-5016.4544009248257</v>
      </c>
      <c r="G78" s="84">
        <v>-6890.7340672044347</v>
      </c>
      <c r="H78" s="84">
        <v>-9206.0207137851194</v>
      </c>
      <c r="I78" s="84">
        <v>-8820.1396060216775</v>
      </c>
      <c r="J78" s="84">
        <v>-9977.7829293120049</v>
      </c>
      <c r="K78" s="84">
        <v>-8654.7619884087653</v>
      </c>
      <c r="L78" s="84">
        <v>-6504.8529594409774</v>
      </c>
      <c r="M78" s="84">
        <v>-5622.8389988388135</v>
      </c>
      <c r="N78" s="84">
        <v>-5457.4613812259013</v>
      </c>
      <c r="O78" s="97">
        <v>-83625.948639592942</v>
      </c>
    </row>
    <row r="79" spans="1:15" x14ac:dyDescent="0.25">
      <c r="A79" s="218"/>
      <c r="B79" s="95" t="s">
        <v>49</v>
      </c>
      <c r="C79" s="96">
        <v>109712.83</v>
      </c>
      <c r="D79" s="84">
        <v>104858.28</v>
      </c>
      <c r="E79" s="84">
        <v>93207.360000000001</v>
      </c>
      <c r="F79" s="84">
        <v>88352.81</v>
      </c>
      <c r="G79" s="84">
        <v>121363.75</v>
      </c>
      <c r="H79" s="84">
        <v>162141.97</v>
      </c>
      <c r="I79" s="84">
        <v>155345.60000000001</v>
      </c>
      <c r="J79" s="84">
        <v>175734.71</v>
      </c>
      <c r="K79" s="84">
        <v>152432.87</v>
      </c>
      <c r="L79" s="84">
        <v>114567.37999999999</v>
      </c>
      <c r="M79" s="84">
        <v>99032.819999999992</v>
      </c>
      <c r="N79" s="84">
        <v>96120.09</v>
      </c>
      <c r="O79" s="97">
        <v>1472870.47</v>
      </c>
    </row>
    <row r="80" spans="1:15" x14ac:dyDescent="0.25">
      <c r="A80" s="218"/>
      <c r="B80" s="95" t="s">
        <v>87</v>
      </c>
      <c r="C80" s="96">
        <v>0</v>
      </c>
      <c r="D80" s="84">
        <v>0</v>
      </c>
      <c r="E80" s="84">
        <v>0</v>
      </c>
      <c r="F80" s="84">
        <v>0</v>
      </c>
      <c r="G80" s="84">
        <v>0</v>
      </c>
      <c r="H80" s="84">
        <v>0</v>
      </c>
      <c r="I80" s="84">
        <v>0</v>
      </c>
      <c r="J80" s="84">
        <v>0</v>
      </c>
      <c r="K80" s="84">
        <v>0</v>
      </c>
      <c r="L80" s="84">
        <v>0</v>
      </c>
      <c r="M80" s="84">
        <v>0</v>
      </c>
      <c r="N80" s="84">
        <v>0</v>
      </c>
      <c r="O80" s="97">
        <v>0</v>
      </c>
    </row>
    <row r="81" spans="1:15" x14ac:dyDescent="0.25">
      <c r="A81" s="218"/>
      <c r="B81" s="95" t="s">
        <v>89</v>
      </c>
      <c r="C81" s="96">
        <v>0</v>
      </c>
      <c r="D81" s="84">
        <v>0</v>
      </c>
      <c r="E81" s="84">
        <v>0</v>
      </c>
      <c r="F81" s="84">
        <v>0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97">
        <v>0</v>
      </c>
    </row>
    <row r="82" spans="1:15" x14ac:dyDescent="0.25">
      <c r="A82" s="85" t="s">
        <v>55</v>
      </c>
      <c r="B82" s="85" t="s">
        <v>70</v>
      </c>
      <c r="C82" s="92">
        <v>6439.72</v>
      </c>
      <c r="D82" s="93">
        <v>9199.6</v>
      </c>
      <c r="E82" s="93">
        <v>7359.68</v>
      </c>
      <c r="F82" s="93">
        <v>7359.68</v>
      </c>
      <c r="G82" s="93">
        <v>9199.6</v>
      </c>
      <c r="H82" s="93">
        <v>11039.52</v>
      </c>
      <c r="I82" s="93">
        <v>12879.44</v>
      </c>
      <c r="J82" s="93">
        <v>11959.48</v>
      </c>
      <c r="K82" s="93">
        <v>11959.48</v>
      </c>
      <c r="L82" s="93">
        <v>10119.560000000001</v>
      </c>
      <c r="M82" s="93">
        <v>6439.72</v>
      </c>
      <c r="N82" s="93">
        <v>7359.68</v>
      </c>
      <c r="O82" s="94">
        <v>111315.16</v>
      </c>
    </row>
    <row r="83" spans="1:15" x14ac:dyDescent="0.25">
      <c r="A83" s="218"/>
      <c r="B83" s="95" t="s">
        <v>25</v>
      </c>
      <c r="C83" s="96">
        <v>-356.64999999999964</v>
      </c>
      <c r="D83" s="84">
        <v>-509.5</v>
      </c>
      <c r="E83" s="84">
        <v>-407.59999999999945</v>
      </c>
      <c r="F83" s="84">
        <v>-407.59999999999945</v>
      </c>
      <c r="G83" s="84">
        <v>-509.5</v>
      </c>
      <c r="H83" s="84">
        <v>-611.39999999999964</v>
      </c>
      <c r="I83" s="84">
        <v>-713.29999999999927</v>
      </c>
      <c r="J83" s="84">
        <v>-662.35000000000036</v>
      </c>
      <c r="K83" s="84">
        <v>-662.35000000000036</v>
      </c>
      <c r="L83" s="84">
        <v>-560.44999999999891</v>
      </c>
      <c r="M83" s="84">
        <v>-356.64999999999964</v>
      </c>
      <c r="N83" s="84">
        <v>-407.59999999999945</v>
      </c>
      <c r="O83" s="97">
        <v>-6164.9499999999962</v>
      </c>
    </row>
    <row r="84" spans="1:15" x14ac:dyDescent="0.25">
      <c r="A84" s="218"/>
      <c r="B84" s="95" t="s">
        <v>26</v>
      </c>
      <c r="C84" s="96">
        <v>-29.231107763448357</v>
      </c>
      <c r="D84" s="84">
        <v>-41.758725376354796</v>
      </c>
      <c r="E84" s="84">
        <v>-33.406980301083834</v>
      </c>
      <c r="F84" s="84">
        <v>-33.406980301083834</v>
      </c>
      <c r="G84" s="84">
        <v>-41.758725376354796</v>
      </c>
      <c r="H84" s="84">
        <v>-50.110470451625751</v>
      </c>
      <c r="I84" s="84">
        <v>-58.462215526896713</v>
      </c>
      <c r="J84" s="84">
        <v>-54.286342989261229</v>
      </c>
      <c r="K84" s="84">
        <v>-54.286342989261229</v>
      </c>
      <c r="L84" s="84">
        <v>-45.934597913990281</v>
      </c>
      <c r="M84" s="84">
        <v>-29.231107763448357</v>
      </c>
      <c r="N84" s="84">
        <v>-33.406980301083834</v>
      </c>
      <c r="O84" s="97">
        <v>-505.28057705389301</v>
      </c>
    </row>
    <row r="85" spans="1:15" x14ac:dyDescent="0.25">
      <c r="A85" s="218"/>
      <c r="B85" s="95" t="s">
        <v>27</v>
      </c>
      <c r="C85" s="96">
        <v>-385.88110776344797</v>
      </c>
      <c r="D85" s="84">
        <v>-551.25872537635485</v>
      </c>
      <c r="E85" s="84">
        <v>-441.00698030108327</v>
      </c>
      <c r="F85" s="84">
        <v>-441.00698030108327</v>
      </c>
      <c r="G85" s="84">
        <v>-551.25872537635485</v>
      </c>
      <c r="H85" s="84">
        <v>-661.51047045162534</v>
      </c>
      <c r="I85" s="84">
        <v>-771.76221552689594</v>
      </c>
      <c r="J85" s="84">
        <v>-716.63634298926161</v>
      </c>
      <c r="K85" s="84">
        <v>-716.63634298926161</v>
      </c>
      <c r="L85" s="84">
        <v>-606.38459791398918</v>
      </c>
      <c r="M85" s="84">
        <v>-385.88110776344797</v>
      </c>
      <c r="N85" s="84">
        <v>-441.00698030108327</v>
      </c>
      <c r="O85" s="97">
        <v>-6670.2305770538887</v>
      </c>
    </row>
    <row r="86" spans="1:15" x14ac:dyDescent="0.25">
      <c r="A86" s="218"/>
      <c r="B86" s="95" t="s">
        <v>49</v>
      </c>
      <c r="C86" s="96">
        <v>6796.37</v>
      </c>
      <c r="D86" s="84">
        <v>9709.1</v>
      </c>
      <c r="E86" s="84">
        <v>7767.28</v>
      </c>
      <c r="F86" s="84">
        <v>7767.28</v>
      </c>
      <c r="G86" s="84">
        <v>9709.1</v>
      </c>
      <c r="H86" s="84">
        <v>11650.92</v>
      </c>
      <c r="I86" s="84">
        <v>13592.74</v>
      </c>
      <c r="J86" s="84">
        <v>12621.83</v>
      </c>
      <c r="K86" s="84">
        <v>12621.83</v>
      </c>
      <c r="L86" s="84">
        <v>10680.01</v>
      </c>
      <c r="M86" s="84">
        <v>6796.37</v>
      </c>
      <c r="N86" s="84">
        <v>7767.28</v>
      </c>
      <c r="O86" s="97">
        <v>117480.10999999999</v>
      </c>
    </row>
    <row r="87" spans="1:15" x14ac:dyDescent="0.25">
      <c r="A87" s="218"/>
      <c r="B87" s="95" t="s">
        <v>87</v>
      </c>
      <c r="C87" s="96">
        <v>0</v>
      </c>
      <c r="D87" s="84">
        <v>0</v>
      </c>
      <c r="E87" s="84">
        <v>0</v>
      </c>
      <c r="F87" s="84">
        <v>0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0</v>
      </c>
      <c r="M87" s="84">
        <v>0</v>
      </c>
      <c r="N87" s="84">
        <v>0</v>
      </c>
      <c r="O87" s="97">
        <v>0</v>
      </c>
    </row>
    <row r="88" spans="1:15" x14ac:dyDescent="0.25">
      <c r="A88" s="218"/>
      <c r="B88" s="95" t="s">
        <v>89</v>
      </c>
      <c r="C88" s="96">
        <v>0</v>
      </c>
      <c r="D88" s="84">
        <v>0</v>
      </c>
      <c r="E88" s="84">
        <v>0</v>
      </c>
      <c r="F88" s="84">
        <v>0</v>
      </c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97">
        <v>0</v>
      </c>
    </row>
    <row r="89" spans="1:15" x14ac:dyDescent="0.25">
      <c r="A89" s="85" t="s">
        <v>56</v>
      </c>
      <c r="B89" s="85" t="s">
        <v>70</v>
      </c>
      <c r="C89" s="92">
        <v>19319.16</v>
      </c>
      <c r="D89" s="93">
        <v>19319.16</v>
      </c>
      <c r="E89" s="93">
        <v>17479.240000000002</v>
      </c>
      <c r="F89" s="93">
        <v>19319.16</v>
      </c>
      <c r="G89" s="93">
        <v>25758.880000000001</v>
      </c>
      <c r="H89" s="93">
        <v>34038.520000000004</v>
      </c>
      <c r="I89" s="93">
        <v>34958.480000000003</v>
      </c>
      <c r="J89" s="93">
        <v>36798.400000000001</v>
      </c>
      <c r="K89" s="93">
        <v>34038.520000000004</v>
      </c>
      <c r="L89" s="93">
        <v>27598.800000000003</v>
      </c>
      <c r="M89" s="93">
        <v>17479.240000000002</v>
      </c>
      <c r="N89" s="93">
        <v>18399.2</v>
      </c>
      <c r="O89" s="94">
        <v>304506.76</v>
      </c>
    </row>
    <row r="90" spans="1:15" x14ac:dyDescent="0.25">
      <c r="A90" s="218"/>
      <c r="B90" s="95" t="s">
        <v>25</v>
      </c>
      <c r="C90" s="96">
        <v>-1069.9500000000007</v>
      </c>
      <c r="D90" s="84">
        <v>-1069.9500000000007</v>
      </c>
      <c r="E90" s="84">
        <v>-968.04999999999927</v>
      </c>
      <c r="F90" s="84">
        <v>-1069.9500000000007</v>
      </c>
      <c r="G90" s="84">
        <v>-1426.5999999999985</v>
      </c>
      <c r="H90" s="84">
        <v>-1885.1499999999942</v>
      </c>
      <c r="I90" s="84">
        <v>-1936.0999999999985</v>
      </c>
      <c r="J90" s="84">
        <v>-2038</v>
      </c>
      <c r="K90" s="84">
        <v>-1885.1499999999942</v>
      </c>
      <c r="L90" s="84">
        <v>-1528.4999999999964</v>
      </c>
      <c r="M90" s="84">
        <v>-968.04999999999927</v>
      </c>
      <c r="N90" s="84">
        <v>-1019</v>
      </c>
      <c r="O90" s="97">
        <v>-16864.449999999983</v>
      </c>
    </row>
    <row r="91" spans="1:15" x14ac:dyDescent="0.25">
      <c r="A91" s="218"/>
      <c r="B91" s="95" t="s">
        <v>26</v>
      </c>
      <c r="C91" s="96">
        <v>-87.693323290345063</v>
      </c>
      <c r="D91" s="84">
        <v>-87.693323290345063</v>
      </c>
      <c r="E91" s="84">
        <v>-79.341578215074122</v>
      </c>
      <c r="F91" s="84">
        <v>-87.693323290345063</v>
      </c>
      <c r="G91" s="84">
        <v>-116.92443105379343</v>
      </c>
      <c r="H91" s="84">
        <v>-154.50728389251273</v>
      </c>
      <c r="I91" s="84">
        <v>-158.68315643014824</v>
      </c>
      <c r="J91" s="84">
        <v>-167.03490150541919</v>
      </c>
      <c r="K91" s="84">
        <v>-154.50728389251273</v>
      </c>
      <c r="L91" s="84">
        <v>-125.27617612906438</v>
      </c>
      <c r="M91" s="84">
        <v>-79.341578215074122</v>
      </c>
      <c r="N91" s="84">
        <v>-83.517450752709593</v>
      </c>
      <c r="O91" s="97">
        <v>-1382.213809957344</v>
      </c>
    </row>
    <row r="92" spans="1:15" x14ac:dyDescent="0.25">
      <c r="A92" s="218"/>
      <c r="B92" s="95" t="s">
        <v>27</v>
      </c>
      <c r="C92" s="96">
        <v>-1157.6433232903457</v>
      </c>
      <c r="D92" s="84">
        <v>-1157.6433232903457</v>
      </c>
      <c r="E92" s="84">
        <v>-1047.3915782150734</v>
      </c>
      <c r="F92" s="84">
        <v>-1157.6433232903457</v>
      </c>
      <c r="G92" s="84">
        <v>-1543.5244310537919</v>
      </c>
      <c r="H92" s="84">
        <v>-2039.6572838925069</v>
      </c>
      <c r="I92" s="84">
        <v>-2094.7831564301468</v>
      </c>
      <c r="J92" s="84">
        <v>-2205.0349015054194</v>
      </c>
      <c r="K92" s="84">
        <v>-2039.6572838925069</v>
      </c>
      <c r="L92" s="84">
        <v>-1653.7761761290608</v>
      </c>
      <c r="M92" s="84">
        <v>-1047.3915782150734</v>
      </c>
      <c r="N92" s="84">
        <v>-1102.5174507527097</v>
      </c>
      <c r="O92" s="97">
        <v>-18246.663809957325</v>
      </c>
    </row>
    <row r="93" spans="1:15" x14ac:dyDescent="0.25">
      <c r="A93" s="218"/>
      <c r="B93" s="95" t="s">
        <v>49</v>
      </c>
      <c r="C93" s="96">
        <v>20389.11</v>
      </c>
      <c r="D93" s="84">
        <v>20389.11</v>
      </c>
      <c r="E93" s="84">
        <v>18447.29</v>
      </c>
      <c r="F93" s="84">
        <v>20389.11</v>
      </c>
      <c r="G93" s="84">
        <v>27185.48</v>
      </c>
      <c r="H93" s="84">
        <v>35923.67</v>
      </c>
      <c r="I93" s="84">
        <v>36894.58</v>
      </c>
      <c r="J93" s="84">
        <v>38836.400000000001</v>
      </c>
      <c r="K93" s="84">
        <v>35923.67</v>
      </c>
      <c r="L93" s="84">
        <v>29127.3</v>
      </c>
      <c r="M93" s="84">
        <v>18447.29</v>
      </c>
      <c r="N93" s="84">
        <v>19418.2</v>
      </c>
      <c r="O93" s="97">
        <v>321371.20999999996</v>
      </c>
    </row>
    <row r="94" spans="1:15" x14ac:dyDescent="0.25">
      <c r="A94" s="218"/>
      <c r="B94" s="95" t="s">
        <v>87</v>
      </c>
      <c r="C94" s="96">
        <v>0</v>
      </c>
      <c r="D94" s="84">
        <v>0</v>
      </c>
      <c r="E94" s="84">
        <v>0</v>
      </c>
      <c r="F94" s="84">
        <v>0</v>
      </c>
      <c r="G94" s="84">
        <v>0</v>
      </c>
      <c r="H94" s="84">
        <v>0</v>
      </c>
      <c r="I94" s="84">
        <v>0</v>
      </c>
      <c r="J94" s="84">
        <v>0</v>
      </c>
      <c r="K94" s="84">
        <v>0</v>
      </c>
      <c r="L94" s="84">
        <v>0</v>
      </c>
      <c r="M94" s="84">
        <v>0</v>
      </c>
      <c r="N94" s="84">
        <v>0</v>
      </c>
      <c r="O94" s="97">
        <v>0</v>
      </c>
    </row>
    <row r="95" spans="1:15" x14ac:dyDescent="0.25">
      <c r="A95" s="218"/>
      <c r="B95" s="95" t="s">
        <v>89</v>
      </c>
      <c r="C95" s="96">
        <v>0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97">
        <v>0</v>
      </c>
    </row>
    <row r="96" spans="1:15" x14ac:dyDescent="0.25">
      <c r="A96" s="85" t="s">
        <v>57</v>
      </c>
      <c r="B96" s="85" t="s">
        <v>70</v>
      </c>
      <c r="C96" s="92">
        <v>33118.559999999998</v>
      </c>
      <c r="D96" s="93">
        <v>29438.720000000001</v>
      </c>
      <c r="E96" s="93">
        <v>29438.720000000001</v>
      </c>
      <c r="F96" s="93">
        <v>28518.760000000002</v>
      </c>
      <c r="G96" s="93">
        <v>34958.480000000003</v>
      </c>
      <c r="H96" s="93">
        <v>44158.080000000002</v>
      </c>
      <c r="I96" s="93">
        <v>45078.04</v>
      </c>
      <c r="J96" s="93">
        <v>45998</v>
      </c>
      <c r="K96" s="93">
        <v>43238.12</v>
      </c>
      <c r="L96" s="93">
        <v>33118.559999999998</v>
      </c>
      <c r="M96" s="93">
        <v>23918.959999999999</v>
      </c>
      <c r="N96" s="93">
        <v>28518.760000000002</v>
      </c>
      <c r="O96" s="94">
        <v>419501.76</v>
      </c>
    </row>
    <row r="97" spans="1:15" x14ac:dyDescent="0.25">
      <c r="A97" s="218"/>
      <c r="B97" s="95" t="s">
        <v>25</v>
      </c>
      <c r="C97" s="96">
        <v>-1834.2000000000044</v>
      </c>
      <c r="D97" s="84">
        <v>-1630.3999999999978</v>
      </c>
      <c r="E97" s="84">
        <v>-1630.3999999999978</v>
      </c>
      <c r="F97" s="84">
        <v>-1579.4499999999971</v>
      </c>
      <c r="G97" s="84">
        <v>-1936.0999999999985</v>
      </c>
      <c r="H97" s="84">
        <v>-2445.5999999999985</v>
      </c>
      <c r="I97" s="84">
        <v>-2496.5499999999956</v>
      </c>
      <c r="J97" s="84">
        <v>-2547.5</v>
      </c>
      <c r="K97" s="84">
        <v>-2394.6499999999942</v>
      </c>
      <c r="L97" s="84">
        <v>-1834.2000000000044</v>
      </c>
      <c r="M97" s="84">
        <v>-1324.7000000000007</v>
      </c>
      <c r="N97" s="84">
        <v>-1579.4499999999971</v>
      </c>
      <c r="O97" s="97">
        <v>-23233.199999999986</v>
      </c>
    </row>
    <row r="98" spans="1:15" x14ac:dyDescent="0.25">
      <c r="A98" s="218"/>
      <c r="B98" s="95" t="s">
        <v>26</v>
      </c>
      <c r="C98" s="96">
        <v>-150.33141135487725</v>
      </c>
      <c r="D98" s="84">
        <v>-133.62792120433534</v>
      </c>
      <c r="E98" s="84">
        <v>-133.62792120433534</v>
      </c>
      <c r="F98" s="84">
        <v>-129.45204866669985</v>
      </c>
      <c r="G98" s="84">
        <v>-158.68315643014824</v>
      </c>
      <c r="H98" s="84">
        <v>-200.44188180650301</v>
      </c>
      <c r="I98" s="84">
        <v>-204.61775434413849</v>
      </c>
      <c r="J98" s="84">
        <v>-208.79362688177397</v>
      </c>
      <c r="K98" s="84">
        <v>-196.26600926886755</v>
      </c>
      <c r="L98" s="84">
        <v>-150.33141135487725</v>
      </c>
      <c r="M98" s="84">
        <v>-108.57268597852246</v>
      </c>
      <c r="N98" s="84">
        <v>-129.45204866669985</v>
      </c>
      <c r="O98" s="97">
        <v>-1904.1978771617787</v>
      </c>
    </row>
    <row r="99" spans="1:15" x14ac:dyDescent="0.25">
      <c r="A99" s="218"/>
      <c r="B99" s="95" t="s">
        <v>27</v>
      </c>
      <c r="C99" s="96">
        <v>-1984.5314113548816</v>
      </c>
      <c r="D99" s="84">
        <v>-1764.0279212043331</v>
      </c>
      <c r="E99" s="84">
        <v>-1764.0279212043331</v>
      </c>
      <c r="F99" s="84">
        <v>-1708.9020486666968</v>
      </c>
      <c r="G99" s="84">
        <v>-2094.7831564301468</v>
      </c>
      <c r="H99" s="84">
        <v>-2646.0418818065014</v>
      </c>
      <c r="I99" s="84">
        <v>-2701.1677543441342</v>
      </c>
      <c r="J99" s="84">
        <v>-2756.2936268817739</v>
      </c>
      <c r="K99" s="84">
        <v>-2590.9160092688617</v>
      </c>
      <c r="L99" s="84">
        <v>-1984.5314113548816</v>
      </c>
      <c r="M99" s="84">
        <v>-1433.2726859785232</v>
      </c>
      <c r="N99" s="84">
        <v>-1708.9020486666968</v>
      </c>
      <c r="O99" s="97">
        <v>-25137.397877161762</v>
      </c>
    </row>
    <row r="100" spans="1:15" x14ac:dyDescent="0.25">
      <c r="A100" s="218"/>
      <c r="B100" s="95" t="s">
        <v>49</v>
      </c>
      <c r="C100" s="96">
        <v>34952.76</v>
      </c>
      <c r="D100" s="84">
        <v>31069.119999999999</v>
      </c>
      <c r="E100" s="84">
        <v>31069.119999999999</v>
      </c>
      <c r="F100" s="84">
        <v>30098.21</v>
      </c>
      <c r="G100" s="84">
        <v>36894.58</v>
      </c>
      <c r="H100" s="84">
        <v>46603.68</v>
      </c>
      <c r="I100" s="84">
        <v>47574.59</v>
      </c>
      <c r="J100" s="84">
        <v>48545.5</v>
      </c>
      <c r="K100" s="84">
        <v>45632.77</v>
      </c>
      <c r="L100" s="84">
        <v>34952.76</v>
      </c>
      <c r="M100" s="84">
        <v>25243.66</v>
      </c>
      <c r="N100" s="84">
        <v>30098.21</v>
      </c>
      <c r="O100" s="97">
        <v>442734.95999999996</v>
      </c>
    </row>
    <row r="101" spans="1:15" x14ac:dyDescent="0.25">
      <c r="A101" s="218"/>
      <c r="B101" s="95" t="s">
        <v>87</v>
      </c>
      <c r="C101" s="96">
        <v>0</v>
      </c>
      <c r="D101" s="84">
        <v>0</v>
      </c>
      <c r="E101" s="84">
        <v>0</v>
      </c>
      <c r="F101" s="84">
        <v>0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97">
        <v>0</v>
      </c>
    </row>
    <row r="102" spans="1:15" x14ac:dyDescent="0.25">
      <c r="A102" s="218"/>
      <c r="B102" s="95" t="s">
        <v>89</v>
      </c>
      <c r="C102" s="96">
        <v>0</v>
      </c>
      <c r="D102" s="84">
        <v>0</v>
      </c>
      <c r="E102" s="84">
        <v>0</v>
      </c>
      <c r="F102" s="84">
        <v>0</v>
      </c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97">
        <v>0</v>
      </c>
    </row>
    <row r="103" spans="1:15" x14ac:dyDescent="0.25">
      <c r="A103" s="85" t="s">
        <v>81</v>
      </c>
      <c r="B103" s="85" t="s">
        <v>70</v>
      </c>
      <c r="C103" s="92">
        <v>126034.52</v>
      </c>
      <c r="D103" s="93">
        <v>121434.72</v>
      </c>
      <c r="E103" s="93">
        <v>136154.08000000002</v>
      </c>
      <c r="F103" s="93">
        <v>84636.32</v>
      </c>
      <c r="G103" s="93">
        <v>95675.839999999997</v>
      </c>
      <c r="H103" s="93">
        <v>143513.76</v>
      </c>
      <c r="I103" s="93">
        <v>142593.80000000002</v>
      </c>
      <c r="J103" s="93">
        <v>146273.64000000001</v>
      </c>
      <c r="K103" s="93">
        <v>132474.23999999999</v>
      </c>
      <c r="L103" s="93">
        <v>107635.32</v>
      </c>
      <c r="M103" s="93">
        <v>123274.64</v>
      </c>
      <c r="N103" s="93">
        <v>133394.20000000001</v>
      </c>
      <c r="O103" s="94">
        <v>1493095.0799999998</v>
      </c>
    </row>
    <row r="104" spans="1:15" x14ac:dyDescent="0.25">
      <c r="A104" s="218"/>
      <c r="B104" s="95" t="s">
        <v>25</v>
      </c>
      <c r="C104" s="96">
        <v>-6980.1499999999796</v>
      </c>
      <c r="D104" s="84">
        <v>-6725.3999999999942</v>
      </c>
      <c r="E104" s="84">
        <v>-7540.5999999999767</v>
      </c>
      <c r="F104" s="84">
        <v>-4687.3999999999942</v>
      </c>
      <c r="G104" s="84">
        <v>-5298.8000000000029</v>
      </c>
      <c r="H104" s="84">
        <v>-7948.1999999999825</v>
      </c>
      <c r="I104" s="84">
        <v>-7897.2499999999709</v>
      </c>
      <c r="J104" s="84">
        <v>-8101.0499999999884</v>
      </c>
      <c r="K104" s="84">
        <v>-7336.8000000000175</v>
      </c>
      <c r="L104" s="84">
        <v>-5961.1499999999942</v>
      </c>
      <c r="M104" s="84">
        <v>-6827.3000000000029</v>
      </c>
      <c r="N104" s="84">
        <v>-7387.7499999999709</v>
      </c>
      <c r="O104" s="97">
        <v>-82691.849999999875</v>
      </c>
    </row>
    <row r="105" spans="1:15" x14ac:dyDescent="0.25">
      <c r="A105" s="218"/>
      <c r="B105" s="95" t="s">
        <v>26</v>
      </c>
      <c r="C105" s="96">
        <v>-572.09453765606065</v>
      </c>
      <c r="D105" s="84">
        <v>-551.21517496788329</v>
      </c>
      <c r="E105" s="84">
        <v>-618.02913557005093</v>
      </c>
      <c r="F105" s="84">
        <v>-384.18027346246413</v>
      </c>
      <c r="G105" s="84">
        <v>-434.29074391408983</v>
      </c>
      <c r="H105" s="84">
        <v>-651.4361158711348</v>
      </c>
      <c r="I105" s="84">
        <v>-647.26024333349926</v>
      </c>
      <c r="J105" s="84">
        <v>-663.9637334840412</v>
      </c>
      <c r="K105" s="84">
        <v>-601.32564541950899</v>
      </c>
      <c r="L105" s="84">
        <v>-488.57708690335113</v>
      </c>
      <c r="M105" s="84">
        <v>-559.56692004315425</v>
      </c>
      <c r="N105" s="84">
        <v>-605.50151795714453</v>
      </c>
      <c r="O105" s="97">
        <v>-6777.4411285823826</v>
      </c>
    </row>
    <row r="106" spans="1:15" x14ac:dyDescent="0.25">
      <c r="A106" s="218"/>
      <c r="B106" s="95" t="s">
        <v>27</v>
      </c>
      <c r="C106" s="96">
        <v>-7552.2445376560399</v>
      </c>
      <c r="D106" s="84">
        <v>-7276.6151749678775</v>
      </c>
      <c r="E106" s="84">
        <v>-8158.6291355700278</v>
      </c>
      <c r="F106" s="84">
        <v>-5071.5802734624585</v>
      </c>
      <c r="G106" s="84">
        <v>-5733.0907439140929</v>
      </c>
      <c r="H106" s="84">
        <v>-8599.636115871117</v>
      </c>
      <c r="I106" s="84">
        <v>-8544.5102433334705</v>
      </c>
      <c r="J106" s="84">
        <v>-8765.0137334840292</v>
      </c>
      <c r="K106" s="84">
        <v>-7938.1256454195263</v>
      </c>
      <c r="L106" s="84">
        <v>-6449.7270869033455</v>
      </c>
      <c r="M106" s="84">
        <v>-7386.8669200431568</v>
      </c>
      <c r="N106" s="84">
        <v>-7993.2515179571155</v>
      </c>
      <c r="O106" s="97">
        <v>-89469.291128582248</v>
      </c>
    </row>
    <row r="107" spans="1:15" x14ac:dyDescent="0.25">
      <c r="A107" s="218"/>
      <c r="B107" s="95" t="s">
        <v>49</v>
      </c>
      <c r="C107" s="96">
        <v>133014.66999999998</v>
      </c>
      <c r="D107" s="84">
        <v>128160.12</v>
      </c>
      <c r="E107" s="84">
        <v>143694.68</v>
      </c>
      <c r="F107" s="84">
        <v>89323.72</v>
      </c>
      <c r="G107" s="84">
        <v>100974.64</v>
      </c>
      <c r="H107" s="84">
        <v>151461.96</v>
      </c>
      <c r="I107" s="84">
        <v>150491.04999999999</v>
      </c>
      <c r="J107" s="84">
        <v>154374.69</v>
      </c>
      <c r="K107" s="84">
        <v>139811.04</v>
      </c>
      <c r="L107" s="84">
        <v>113596.47</v>
      </c>
      <c r="M107" s="84">
        <v>130101.94</v>
      </c>
      <c r="N107" s="84">
        <v>140781.94999999998</v>
      </c>
      <c r="O107" s="97">
        <v>1575786.9299999997</v>
      </c>
    </row>
    <row r="108" spans="1:15" x14ac:dyDescent="0.25">
      <c r="A108" s="218"/>
      <c r="B108" s="95" t="s">
        <v>87</v>
      </c>
      <c r="C108" s="96">
        <v>0</v>
      </c>
      <c r="D108" s="84">
        <v>0</v>
      </c>
      <c r="E108" s="84">
        <v>0</v>
      </c>
      <c r="F108" s="84">
        <v>0</v>
      </c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97">
        <v>0</v>
      </c>
    </row>
    <row r="109" spans="1:15" x14ac:dyDescent="0.25">
      <c r="A109" s="218"/>
      <c r="B109" s="95" t="s">
        <v>89</v>
      </c>
      <c r="C109" s="96">
        <v>0</v>
      </c>
      <c r="D109" s="84">
        <v>0</v>
      </c>
      <c r="E109" s="84">
        <v>0</v>
      </c>
      <c r="F109" s="84">
        <v>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97">
        <v>0</v>
      </c>
    </row>
    <row r="110" spans="1:15" x14ac:dyDescent="0.25">
      <c r="A110" s="85" t="s">
        <v>83</v>
      </c>
      <c r="B110" s="85" t="s">
        <v>70</v>
      </c>
      <c r="C110" s="92">
        <v>40478.240000000005</v>
      </c>
      <c r="D110" s="93">
        <v>38638.32</v>
      </c>
      <c r="E110" s="93">
        <v>34038.520000000004</v>
      </c>
      <c r="F110" s="93">
        <v>24838.920000000002</v>
      </c>
      <c r="G110" s="93">
        <v>38638.32</v>
      </c>
      <c r="H110" s="93">
        <v>51517.760000000002</v>
      </c>
      <c r="I110" s="93">
        <v>49677.840000000004</v>
      </c>
      <c r="J110" s="93">
        <v>54277.64</v>
      </c>
      <c r="K110" s="93">
        <v>49677.840000000004</v>
      </c>
      <c r="L110" s="93">
        <v>34038.520000000004</v>
      </c>
      <c r="M110" s="93">
        <v>34958.480000000003</v>
      </c>
      <c r="N110" s="93">
        <v>32198.600000000002</v>
      </c>
      <c r="O110" s="94">
        <v>482979.00000000006</v>
      </c>
    </row>
    <row r="111" spans="1:15" x14ac:dyDescent="0.25">
      <c r="A111" s="218"/>
      <c r="B111" s="95" t="s">
        <v>25</v>
      </c>
      <c r="C111" s="96">
        <v>-2241.7999999999956</v>
      </c>
      <c r="D111" s="84">
        <v>-2139.9000000000015</v>
      </c>
      <c r="E111" s="84">
        <v>-1885.1499999999942</v>
      </c>
      <c r="F111" s="84">
        <v>-1375.6499999999978</v>
      </c>
      <c r="G111" s="84">
        <v>-2139.9000000000015</v>
      </c>
      <c r="H111" s="84">
        <v>-2853.1999999999971</v>
      </c>
      <c r="I111" s="84">
        <v>-2751.2999999999956</v>
      </c>
      <c r="J111" s="84">
        <v>-3006.0499999999956</v>
      </c>
      <c r="K111" s="84">
        <v>-2751.2999999999956</v>
      </c>
      <c r="L111" s="84">
        <v>-1885.1499999999942</v>
      </c>
      <c r="M111" s="84">
        <v>-1936.0999999999985</v>
      </c>
      <c r="N111" s="84">
        <v>-1783.2499999999964</v>
      </c>
      <c r="O111" s="97">
        <v>-26748.749999999964</v>
      </c>
    </row>
    <row r="112" spans="1:15" x14ac:dyDescent="0.25">
      <c r="A112" s="218"/>
      <c r="B112" s="95" t="s">
        <v>26</v>
      </c>
      <c r="C112" s="96">
        <v>-183.73839165596112</v>
      </c>
      <c r="D112" s="84">
        <v>-175.38664658069013</v>
      </c>
      <c r="E112" s="84">
        <v>-154.50728389251273</v>
      </c>
      <c r="F112" s="84">
        <v>-112.74855851615796</v>
      </c>
      <c r="G112" s="84">
        <v>-175.38664658069013</v>
      </c>
      <c r="H112" s="84">
        <v>-233.84886210758685</v>
      </c>
      <c r="I112" s="84">
        <v>-225.49711703231591</v>
      </c>
      <c r="J112" s="84">
        <v>-246.37647972049328</v>
      </c>
      <c r="K112" s="84">
        <v>-225.49711703231591</v>
      </c>
      <c r="L112" s="84">
        <v>-154.50728389251273</v>
      </c>
      <c r="M112" s="84">
        <v>-158.68315643014824</v>
      </c>
      <c r="N112" s="84">
        <v>-146.15553881724179</v>
      </c>
      <c r="O112" s="97">
        <v>-2192.3330822586267</v>
      </c>
    </row>
    <row r="113" spans="1:15" x14ac:dyDescent="0.25">
      <c r="A113" s="218"/>
      <c r="B113" s="95" t="s">
        <v>27</v>
      </c>
      <c r="C113" s="96">
        <v>-2425.5383916559567</v>
      </c>
      <c r="D113" s="84">
        <v>-2315.2866465806915</v>
      </c>
      <c r="E113" s="84">
        <v>-2039.6572838925069</v>
      </c>
      <c r="F113" s="84">
        <v>-1488.3985585161558</v>
      </c>
      <c r="G113" s="84">
        <v>-2315.2866465806915</v>
      </c>
      <c r="H113" s="84">
        <v>-3087.0488621075838</v>
      </c>
      <c r="I113" s="84">
        <v>-2976.7971170323117</v>
      </c>
      <c r="J113" s="84">
        <v>-3252.4264797204887</v>
      </c>
      <c r="K113" s="84">
        <v>-2976.7971170323117</v>
      </c>
      <c r="L113" s="84">
        <v>-2039.6572838925069</v>
      </c>
      <c r="M113" s="84">
        <v>-2094.7831564301468</v>
      </c>
      <c r="N113" s="84">
        <v>-1929.4055388172383</v>
      </c>
      <c r="O113" s="97">
        <v>-28941.083082258589</v>
      </c>
    </row>
    <row r="114" spans="1:15" x14ac:dyDescent="0.25">
      <c r="A114" s="218"/>
      <c r="B114" s="95" t="s">
        <v>49</v>
      </c>
      <c r="C114" s="96">
        <v>42720.04</v>
      </c>
      <c r="D114" s="84">
        <v>40778.22</v>
      </c>
      <c r="E114" s="84">
        <v>35923.67</v>
      </c>
      <c r="F114" s="84">
        <v>26214.57</v>
      </c>
      <c r="G114" s="84">
        <v>40778.22</v>
      </c>
      <c r="H114" s="84">
        <v>54370.96</v>
      </c>
      <c r="I114" s="84">
        <v>52429.14</v>
      </c>
      <c r="J114" s="84">
        <v>57283.689999999995</v>
      </c>
      <c r="K114" s="84">
        <v>52429.14</v>
      </c>
      <c r="L114" s="84">
        <v>35923.67</v>
      </c>
      <c r="M114" s="84">
        <v>36894.58</v>
      </c>
      <c r="N114" s="84">
        <v>33981.85</v>
      </c>
      <c r="O114" s="97">
        <v>509727.75</v>
      </c>
    </row>
    <row r="115" spans="1:15" x14ac:dyDescent="0.25">
      <c r="A115" s="218"/>
      <c r="B115" s="95" t="s">
        <v>87</v>
      </c>
      <c r="C115" s="96">
        <v>0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97">
        <v>0</v>
      </c>
    </row>
    <row r="116" spans="1:15" x14ac:dyDescent="0.25">
      <c r="A116" s="218"/>
      <c r="B116" s="95" t="s">
        <v>89</v>
      </c>
      <c r="C116" s="96">
        <v>0</v>
      </c>
      <c r="D116" s="84">
        <v>0</v>
      </c>
      <c r="E116" s="84">
        <v>0</v>
      </c>
      <c r="F116" s="84">
        <v>0</v>
      </c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97">
        <v>0</v>
      </c>
    </row>
    <row r="117" spans="1:15" x14ac:dyDescent="0.25">
      <c r="A117" s="85" t="s">
        <v>71</v>
      </c>
      <c r="B117" s="86"/>
      <c r="C117" s="92">
        <v>7360599.96</v>
      </c>
      <c r="D117" s="93">
        <v>7297122.7199999997</v>
      </c>
      <c r="E117" s="93">
        <v>6662350.3199999994</v>
      </c>
      <c r="F117" s="93">
        <v>5957660.96</v>
      </c>
      <c r="G117" s="93">
        <v>7505953.6400000006</v>
      </c>
      <c r="H117" s="93">
        <v>9562064.2400000002</v>
      </c>
      <c r="I117" s="93">
        <v>9459028.7200000007</v>
      </c>
      <c r="J117" s="93">
        <v>10138879.160000002</v>
      </c>
      <c r="K117" s="93">
        <v>9355073.2400000002</v>
      </c>
      <c r="L117" s="93">
        <v>7353240.2799999993</v>
      </c>
      <c r="M117" s="93">
        <v>6662350.3200000003</v>
      </c>
      <c r="N117" s="93">
        <v>6685349.3200000003</v>
      </c>
      <c r="O117" s="94">
        <v>93999672.879999995</v>
      </c>
    </row>
    <row r="118" spans="1:15" ht="13" x14ac:dyDescent="0.3">
      <c r="A118" s="85" t="s">
        <v>28</v>
      </c>
      <c r="B118" s="86"/>
      <c r="C118" s="258">
        <v>-407650.94999999966</v>
      </c>
      <c r="D118" s="259">
        <v>-404135.39999999944</v>
      </c>
      <c r="E118" s="259">
        <v>-368979.89999999991</v>
      </c>
      <c r="F118" s="259">
        <v>-329952.19999999879</v>
      </c>
      <c r="G118" s="259">
        <v>-415701.04999999935</v>
      </c>
      <c r="H118" s="259">
        <v>-529574.29999999981</v>
      </c>
      <c r="I118" s="259">
        <v>-523867.89999999962</v>
      </c>
      <c r="J118" s="259">
        <v>-561519.94999999902</v>
      </c>
      <c r="K118" s="259">
        <v>-518110.54999999929</v>
      </c>
      <c r="L118" s="259">
        <v>-407243.34999999939</v>
      </c>
      <c r="M118" s="259">
        <v>-368979.89999999973</v>
      </c>
      <c r="N118" s="259">
        <v>-370253.64999999956</v>
      </c>
      <c r="O118" s="260">
        <v>-5205969.099999995</v>
      </c>
    </row>
    <row r="119" spans="1:15" ht="13" x14ac:dyDescent="0.3">
      <c r="A119" s="85" t="s">
        <v>29</v>
      </c>
      <c r="B119" s="86"/>
      <c r="C119" s="258">
        <v>-33411.156173621472</v>
      </c>
      <c r="D119" s="259">
        <v>-33123.020968524623</v>
      </c>
      <c r="E119" s="259">
        <v>-30241.668917556141</v>
      </c>
      <c r="F119" s="259">
        <v>-27042.950553727373</v>
      </c>
      <c r="G119" s="259">
        <v>-34070.944034567881</v>
      </c>
      <c r="H119" s="259">
        <v>-43404.019156183174</v>
      </c>
      <c r="I119" s="259">
        <v>-42936.321431967997</v>
      </c>
      <c r="J119" s="259">
        <v>-46022.291237280617</v>
      </c>
      <c r="K119" s="259">
        <v>-42464.447835215193</v>
      </c>
      <c r="L119" s="259">
        <v>-33377.749193320386</v>
      </c>
      <c r="M119" s="259">
        <v>-30241.668917556137</v>
      </c>
      <c r="N119" s="259">
        <v>-30346.065730997027</v>
      </c>
      <c r="O119" s="260">
        <v>-426682.30415051809</v>
      </c>
    </row>
    <row r="120" spans="1:15" ht="13" x14ac:dyDescent="0.3">
      <c r="A120" s="85" t="s">
        <v>30</v>
      </c>
      <c r="B120" s="86"/>
      <c r="C120" s="258">
        <v>-441062.10617362114</v>
      </c>
      <c r="D120" s="259">
        <v>-437258.42096852401</v>
      </c>
      <c r="E120" s="259">
        <v>-399221.56891755603</v>
      </c>
      <c r="F120" s="259">
        <v>-356995.15055372607</v>
      </c>
      <c r="G120" s="259">
        <v>-449771.99403456721</v>
      </c>
      <c r="H120" s="259">
        <v>-572978.31915618293</v>
      </c>
      <c r="I120" s="259">
        <v>-566804.22143196769</v>
      </c>
      <c r="J120" s="259">
        <v>-607542.24123727996</v>
      </c>
      <c r="K120" s="259">
        <v>-560574.99783521448</v>
      </c>
      <c r="L120" s="259">
        <v>-440621.09919331979</v>
      </c>
      <c r="M120" s="259">
        <v>-399221.56891755585</v>
      </c>
      <c r="N120" s="259">
        <v>-400599.71573099657</v>
      </c>
      <c r="O120" s="260">
        <v>-5632651.4041505102</v>
      </c>
    </row>
    <row r="121" spans="1:15" x14ac:dyDescent="0.25">
      <c r="A121" s="85" t="s">
        <v>61</v>
      </c>
      <c r="B121" s="86"/>
      <c r="C121" s="92">
        <v>7768250.9100000001</v>
      </c>
      <c r="D121" s="93">
        <v>7701258.1200000001</v>
      </c>
      <c r="E121" s="93">
        <v>7031330.2199999997</v>
      </c>
      <c r="F121" s="93">
        <v>6287613.1600000001</v>
      </c>
      <c r="G121" s="93">
        <v>7921654.6899999995</v>
      </c>
      <c r="H121" s="93">
        <v>10091638.540000003</v>
      </c>
      <c r="I121" s="93">
        <v>9982896.620000001</v>
      </c>
      <c r="J121" s="93">
        <v>10700399.110000001</v>
      </c>
      <c r="K121" s="93">
        <v>9873183.7899999991</v>
      </c>
      <c r="L121" s="93">
        <v>7760483.629999998</v>
      </c>
      <c r="M121" s="93">
        <v>7031330.2200000007</v>
      </c>
      <c r="N121" s="93">
        <v>7055602.9699999997</v>
      </c>
      <c r="O121" s="94">
        <v>99205641.979999989</v>
      </c>
    </row>
    <row r="122" spans="1:15" x14ac:dyDescent="0.25">
      <c r="A122" s="85" t="s">
        <v>88</v>
      </c>
      <c r="B122" s="86"/>
      <c r="C122" s="92">
        <v>0</v>
      </c>
      <c r="D122" s="93">
        <v>0</v>
      </c>
      <c r="E122" s="93">
        <v>0</v>
      </c>
      <c r="F122" s="93">
        <v>0</v>
      </c>
      <c r="G122" s="93">
        <v>0</v>
      </c>
      <c r="H122" s="93">
        <v>0</v>
      </c>
      <c r="I122" s="93">
        <v>0</v>
      </c>
      <c r="J122" s="93">
        <v>0</v>
      </c>
      <c r="K122" s="93">
        <v>0</v>
      </c>
      <c r="L122" s="93">
        <v>0</v>
      </c>
      <c r="M122" s="93">
        <v>0</v>
      </c>
      <c r="N122" s="93">
        <v>0</v>
      </c>
      <c r="O122" s="94">
        <v>0</v>
      </c>
    </row>
    <row r="123" spans="1:15" x14ac:dyDescent="0.25">
      <c r="A123" s="98" t="s">
        <v>90</v>
      </c>
      <c r="B123" s="219"/>
      <c r="C123" s="99">
        <v>0</v>
      </c>
      <c r="D123" s="100">
        <v>0</v>
      </c>
      <c r="E123" s="100">
        <v>0</v>
      </c>
      <c r="F123" s="100">
        <v>0</v>
      </c>
      <c r="G123" s="100">
        <v>0</v>
      </c>
      <c r="H123" s="100">
        <v>0</v>
      </c>
      <c r="I123" s="100">
        <v>0</v>
      </c>
      <c r="J123" s="100">
        <v>0</v>
      </c>
      <c r="K123" s="100">
        <v>0</v>
      </c>
      <c r="L123" s="100">
        <v>0</v>
      </c>
      <c r="M123" s="100">
        <v>0</v>
      </c>
      <c r="N123" s="100">
        <v>0</v>
      </c>
      <c r="O123" s="101">
        <v>0</v>
      </c>
    </row>
    <row r="125" spans="1:15" x14ac:dyDescent="0.25">
      <c r="L125" s="221"/>
      <c r="O125" s="221"/>
    </row>
    <row r="126" spans="1:15" x14ac:dyDescent="0.25">
      <c r="L126" s="84"/>
      <c r="O126" s="84"/>
    </row>
  </sheetData>
  <phoneticPr fontId="6" type="noConversion"/>
  <pageMargins left="0.5" right="0.5" top="0.73" bottom="0.98" header="0.5" footer="0.5"/>
  <pageSetup scale="53" fitToHeight="0" orientation="landscape" horizontalDpi="1200" verticalDpi="12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S220"/>
  <sheetViews>
    <sheetView showGridLines="0" zoomScale="90" zoomScaleNormal="90" zoomScaleSheetLayoutView="100" workbookViewId="0">
      <selection activeCell="N23" sqref="N23"/>
    </sheetView>
  </sheetViews>
  <sheetFormatPr defaultColWidth="8.7265625" defaultRowHeight="12.5" x14ac:dyDescent="0.25"/>
  <cols>
    <col min="1" max="1" width="0.54296875" style="1" customWidth="1"/>
    <col min="2" max="2" width="10.26953125" style="1" bestFit="1" customWidth="1"/>
    <col min="3" max="3" width="10.7265625" style="1" bestFit="1" customWidth="1"/>
    <col min="4" max="4" width="11" style="149" customWidth="1"/>
    <col min="5" max="5" width="24.26953125" style="1" customWidth="1"/>
    <col min="6" max="6" width="7.7265625" style="149" customWidth="1"/>
    <col min="7" max="7" width="8.81640625" style="149" customWidth="1"/>
    <col min="8" max="8" width="11.1796875" style="149" bestFit="1" customWidth="1"/>
    <col min="9" max="9" width="11.26953125" style="150" customWidth="1"/>
    <col min="10" max="10" width="14.81640625" style="149" bestFit="1" customWidth="1"/>
    <col min="11" max="11" width="14.81640625" style="151" bestFit="1" customWidth="1"/>
    <col min="12" max="12" width="14.7265625" style="149" customWidth="1"/>
    <col min="13" max="13" width="13.453125" style="112" bestFit="1" customWidth="1"/>
    <col min="14" max="15" width="13.453125" style="112" customWidth="1"/>
    <col min="16" max="16" width="14.81640625" style="112" bestFit="1" customWidth="1"/>
    <col min="17" max="17" width="13.453125" style="112" customWidth="1"/>
    <col min="18" max="18" width="15.54296875" style="217" customWidth="1"/>
    <col min="19" max="16384" width="8.7265625" style="1"/>
  </cols>
  <sheetData>
    <row r="1" spans="2:18" ht="21.5" x14ac:dyDescent="0.3">
      <c r="B1" s="10" t="s">
        <v>95</v>
      </c>
      <c r="C1" s="102"/>
      <c r="D1" s="103"/>
      <c r="E1" s="102"/>
      <c r="F1" s="104" t="s">
        <v>12</v>
      </c>
      <c r="G1" s="105"/>
      <c r="H1" s="106"/>
      <c r="I1" s="107"/>
      <c r="J1" s="224" t="str">
        <f>"True-Up ARR
(CY"&amp;R1&amp;")"</f>
        <v>True-Up ARR
(CY2023)</v>
      </c>
      <c r="K1" s="224" t="str">
        <f>"Projected ARR
(Jan'"&amp;RIGHT(R$1,2)&amp;" - Dec'"&amp;RIGHT(R$1,2)&amp;")"</f>
        <v>Projected ARR
(Jan'23 - Dec'23)</v>
      </c>
      <c r="L1" s="108" t="s">
        <v>45</v>
      </c>
      <c r="M1" s="109"/>
      <c r="N1" s="50"/>
      <c r="O1" s="50"/>
      <c r="P1" s="50"/>
      <c r="Q1" s="45"/>
      <c r="R1" s="110">
        <v>2023</v>
      </c>
    </row>
    <row r="2" spans="2:18" ht="13" x14ac:dyDescent="0.3">
      <c r="B2" s="10" t="s">
        <v>52</v>
      </c>
      <c r="C2" s="102"/>
      <c r="D2" s="103"/>
      <c r="E2" s="102"/>
      <c r="F2" s="111">
        <v>9</v>
      </c>
      <c r="G2" s="262"/>
      <c r="H2" s="262"/>
      <c r="I2" s="113" t="s">
        <v>6</v>
      </c>
      <c r="J2" s="114">
        <v>93999830.491279602</v>
      </c>
      <c r="K2" s="114">
        <v>106246272.33477446</v>
      </c>
      <c r="L2" s="229"/>
      <c r="M2" s="116"/>
      <c r="N2" s="50"/>
      <c r="O2" s="50"/>
      <c r="P2" s="50"/>
      <c r="Q2" s="50"/>
      <c r="R2" s="1"/>
    </row>
    <row r="3" spans="2:18" ht="13" x14ac:dyDescent="0.3">
      <c r="B3" s="10" t="str">
        <f>"for CY"&amp;R1&amp;" SPP Network Transmission Service"</f>
        <v>for CY2023 SPP Network Transmission Service</v>
      </c>
      <c r="C3" s="102"/>
      <c r="D3" s="103"/>
      <c r="E3" s="102"/>
      <c r="F3" s="111"/>
      <c r="G3" s="262"/>
      <c r="H3" s="262"/>
      <c r="I3" s="113" t="s">
        <v>10</v>
      </c>
      <c r="J3" s="117">
        <v>919.96</v>
      </c>
      <c r="K3" s="117">
        <v>970.91</v>
      </c>
      <c r="L3" s="138" t="str">
        <f>"Inv. Jan-Dec'"&amp;RIGHT(R1,2)</f>
        <v>Inv. Jan-Dec'23</v>
      </c>
      <c r="M3" s="116"/>
      <c r="N3" s="50"/>
      <c r="O3" s="50"/>
      <c r="P3" s="50"/>
      <c r="Q3" s="50"/>
      <c r="R3" s="1"/>
    </row>
    <row r="4" spans="2:18" ht="13" x14ac:dyDescent="0.3">
      <c r="B4" s="9"/>
      <c r="C4" s="102"/>
      <c r="D4" s="103"/>
      <c r="E4" s="102"/>
      <c r="F4" s="111"/>
      <c r="G4" s="112"/>
      <c r="H4" s="112"/>
      <c r="I4" s="49"/>
      <c r="J4" s="112"/>
      <c r="K4" s="118"/>
      <c r="L4" s="112"/>
      <c r="M4" s="119"/>
      <c r="O4" s="253"/>
      <c r="R4" s="1"/>
    </row>
    <row r="5" spans="2:18" ht="13" x14ac:dyDescent="0.3">
      <c r="B5" s="9"/>
      <c r="C5" s="102"/>
      <c r="D5" s="103"/>
      <c r="E5" s="102"/>
      <c r="F5" s="111"/>
      <c r="G5" s="112"/>
      <c r="H5" s="112"/>
      <c r="I5" s="113"/>
      <c r="J5" s="112"/>
      <c r="K5" s="114">
        <v>0</v>
      </c>
      <c r="L5" s="220"/>
      <c r="M5" s="120"/>
      <c r="N5" s="121"/>
      <c r="O5" s="121"/>
      <c r="P5" s="121"/>
      <c r="Q5" s="121"/>
      <c r="R5" s="122"/>
    </row>
    <row r="6" spans="2:18" ht="13" x14ac:dyDescent="0.3">
      <c r="B6" s="10" t="s">
        <v>23</v>
      </c>
      <c r="D6" s="103"/>
      <c r="E6" s="102"/>
      <c r="F6" s="123"/>
      <c r="G6" s="124"/>
      <c r="H6" s="125"/>
      <c r="I6" s="126"/>
      <c r="J6" s="127"/>
      <c r="K6" s="117">
        <v>0</v>
      </c>
      <c r="L6" s="128"/>
      <c r="M6" s="120"/>
      <c r="N6" s="121"/>
      <c r="O6" s="121"/>
      <c r="P6" s="121"/>
      <c r="Q6" s="121"/>
      <c r="R6" s="1"/>
    </row>
    <row r="7" spans="2:18" ht="13" x14ac:dyDescent="0.3">
      <c r="B7" s="9" t="s">
        <v>77</v>
      </c>
      <c r="D7" s="103"/>
      <c r="E7" s="102"/>
      <c r="F7" s="111"/>
      <c r="G7" s="263"/>
      <c r="H7" s="262"/>
      <c r="I7" s="113"/>
      <c r="J7" s="129"/>
      <c r="K7" s="115"/>
      <c r="L7" s="115"/>
      <c r="M7" s="130"/>
      <c r="N7" s="131"/>
      <c r="O7" s="131"/>
      <c r="P7" s="131"/>
      <c r="Q7" s="131"/>
      <c r="R7" s="1"/>
    </row>
    <row r="8" spans="2:18" ht="13" x14ac:dyDescent="0.3">
      <c r="B8" s="10"/>
      <c r="C8" s="102"/>
      <c r="D8" s="103"/>
      <c r="E8" s="102"/>
      <c r="F8" s="111"/>
      <c r="G8" s="262"/>
      <c r="H8" s="262"/>
      <c r="I8" s="113"/>
      <c r="J8" s="132"/>
      <c r="K8" s="115"/>
      <c r="L8" s="133"/>
      <c r="M8" s="116"/>
      <c r="N8" s="50"/>
      <c r="O8" s="50"/>
      <c r="P8" s="50"/>
      <c r="Q8" s="50"/>
      <c r="R8" s="122"/>
    </row>
    <row r="9" spans="2:18" ht="13" x14ac:dyDescent="0.3">
      <c r="B9" s="134"/>
      <c r="C9" s="102"/>
      <c r="D9" s="103"/>
      <c r="E9" s="102"/>
      <c r="F9" s="111"/>
      <c r="G9" s="112"/>
      <c r="H9" s="112"/>
      <c r="I9" s="135"/>
      <c r="J9" s="136"/>
      <c r="K9" s="137"/>
      <c r="L9" s="138"/>
      <c r="M9" s="116"/>
      <c r="N9" s="50"/>
      <c r="O9" s="50"/>
      <c r="P9" s="50"/>
      <c r="Q9" s="50"/>
      <c r="R9" s="122"/>
    </row>
    <row r="10" spans="2:18" ht="13.5" thickBot="1" x14ac:dyDescent="0.35">
      <c r="B10" s="9"/>
      <c r="D10" s="1"/>
      <c r="E10" s="139"/>
      <c r="F10" s="140"/>
      <c r="G10" s="141"/>
      <c r="H10" s="142"/>
      <c r="I10" s="143"/>
      <c r="J10" s="144"/>
      <c r="K10" s="144"/>
      <c r="L10" s="145"/>
      <c r="M10" s="146"/>
      <c r="R10" s="147"/>
    </row>
    <row r="11" spans="2:18" ht="13" x14ac:dyDescent="0.3">
      <c r="B11" s="148"/>
      <c r="E11" s="139"/>
      <c r="L11" s="152"/>
      <c r="M11" s="1"/>
      <c r="N11" s="1"/>
      <c r="O11" s="1"/>
      <c r="P11" s="1"/>
      <c r="Q11" s="1"/>
      <c r="R11" s="122"/>
    </row>
    <row r="12" spans="2:18" x14ac:dyDescent="0.25">
      <c r="E12" s="139"/>
      <c r="L12" s="152"/>
      <c r="R12" s="153" t="s">
        <v>60</v>
      </c>
    </row>
    <row r="13" spans="2:18" ht="13" x14ac:dyDescent="0.3">
      <c r="E13" s="139"/>
      <c r="F13" s="154"/>
      <c r="G13" s="155"/>
      <c r="H13" s="155"/>
      <c r="I13" s="156" t="s">
        <v>58</v>
      </c>
      <c r="J13" s="157">
        <f t="shared" ref="J13:R13" si="0">SUM(J56:J211)</f>
        <v>24826040.56000001</v>
      </c>
      <c r="K13" s="157">
        <f t="shared" si="0"/>
        <v>26200977.260000028</v>
      </c>
      <c r="L13" s="158">
        <f t="shared" si="0"/>
        <v>-1374936.6999999986</v>
      </c>
      <c r="M13" s="159">
        <f t="shared" si="0"/>
        <v>-112690.09630063108</v>
      </c>
      <c r="N13" s="157">
        <f t="shared" si="0"/>
        <v>-1487626.7963006294</v>
      </c>
      <c r="O13" s="157">
        <f t="shared" si="0"/>
        <v>0</v>
      </c>
      <c r="P13" s="157">
        <f t="shared" si="0"/>
        <v>0</v>
      </c>
      <c r="Q13" s="157">
        <f t="shared" si="0"/>
        <v>0</v>
      </c>
      <c r="R13" s="158">
        <f t="shared" si="0"/>
        <v>-1487626.7963006294</v>
      </c>
    </row>
    <row r="14" spans="2:18" ht="13" x14ac:dyDescent="0.3">
      <c r="E14" s="139"/>
      <c r="F14" s="160"/>
      <c r="G14" s="160"/>
      <c r="H14" s="160"/>
      <c r="I14" s="161" t="s">
        <v>59</v>
      </c>
      <c r="J14" s="157">
        <f>SUM(J20:J211)</f>
        <v>93999672.879999921</v>
      </c>
      <c r="K14" s="157">
        <f>SUM(K20:K211)</f>
        <v>99205641.980000019</v>
      </c>
      <c r="L14" s="158">
        <f>SUM(L20:L211)</f>
        <v>-5205969.099999995</v>
      </c>
      <c r="M14" s="222">
        <v>-426682.30415051803</v>
      </c>
      <c r="N14" s="157">
        <f>SUM(N20:N211)</f>
        <v>-5632651.4041505177</v>
      </c>
      <c r="O14" s="157">
        <f>SUM(O20:O211)</f>
        <v>0</v>
      </c>
      <c r="P14" s="157">
        <f>SUM(P20:P211)</f>
        <v>0</v>
      </c>
      <c r="Q14" s="157">
        <f>SUM(Q20:Q211)</f>
        <v>0</v>
      </c>
      <c r="R14" s="158">
        <f>SUM(R20:R211)</f>
        <v>-5632651.4041505177</v>
      </c>
    </row>
    <row r="15" spans="2:18" x14ac:dyDescent="0.25">
      <c r="B15" s="162" t="s">
        <v>82</v>
      </c>
      <c r="E15" s="139"/>
      <c r="J15" s="150"/>
      <c r="L15" s="254"/>
      <c r="M15" s="228"/>
      <c r="N15" s="163"/>
      <c r="O15" s="163"/>
      <c r="P15" s="163"/>
      <c r="Q15" s="163"/>
      <c r="R15" s="164" t="s">
        <v>20</v>
      </c>
    </row>
    <row r="16" spans="2:18" x14ac:dyDescent="0.25">
      <c r="B16" s="165" t="str">
        <f>"** Actual Trued-Up CY"&amp;R1&amp;" Charge reflects "&amp;R1&amp;" True-UP Rate x MW"</f>
        <v>** Actual Trued-Up CY2023 Charge reflects 2023 True-UP Rate x MW</v>
      </c>
      <c r="E16" s="139"/>
      <c r="F16" s="112"/>
      <c r="G16" s="5"/>
      <c r="J16" s="166"/>
      <c r="L16" s="167" t="s">
        <v>11</v>
      </c>
      <c r="M16" s="163"/>
      <c r="N16" s="163"/>
      <c r="O16" s="163"/>
      <c r="P16" s="163"/>
      <c r="Q16" s="163"/>
      <c r="R16" s="168"/>
    </row>
    <row r="17" spans="1:18" x14ac:dyDescent="0.25">
      <c r="B17" s="169" t="s">
        <v>62</v>
      </c>
      <c r="E17" s="139"/>
      <c r="I17" s="170"/>
      <c r="J17" s="171"/>
      <c r="K17" s="172"/>
      <c r="L17" s="172"/>
      <c r="M17" s="172"/>
      <c r="N17" s="172"/>
      <c r="O17" s="172"/>
      <c r="P17" s="172"/>
      <c r="Q17" s="172"/>
      <c r="R17" s="173"/>
    </row>
    <row r="18" spans="1:18" ht="3.65" customHeight="1" x14ac:dyDescent="0.25">
      <c r="I18" s="174"/>
      <c r="J18" s="171"/>
      <c r="K18" s="174"/>
      <c r="L18" s="174"/>
      <c r="M18" s="175"/>
      <c r="N18" s="175"/>
      <c r="O18" s="175"/>
      <c r="P18" s="175"/>
      <c r="Q18" s="175"/>
      <c r="R18" s="176"/>
    </row>
    <row r="19" spans="1:18" ht="38.25" customHeight="1" x14ac:dyDescent="0.25">
      <c r="B19" s="177" t="s">
        <v>53</v>
      </c>
      <c r="C19" s="230" t="s">
        <v>4</v>
      </c>
      <c r="D19" s="230" t="s">
        <v>5</v>
      </c>
      <c r="E19" s="231" t="s">
        <v>0</v>
      </c>
      <c r="F19" s="232" t="s">
        <v>12</v>
      </c>
      <c r="G19" s="233" t="s">
        <v>1</v>
      </c>
      <c r="H19" s="178" t="s">
        <v>48</v>
      </c>
      <c r="I19" s="178" t="s">
        <v>46</v>
      </c>
      <c r="J19" s="179" t="str">
        <f>"True-Up Charge"</f>
        <v>True-Up Charge</v>
      </c>
      <c r="K19" s="179" t="s">
        <v>47</v>
      </c>
      <c r="L19" s="180" t="s">
        <v>3</v>
      </c>
      <c r="M19" s="181" t="s">
        <v>7</v>
      </c>
      <c r="N19" s="182" t="s">
        <v>103</v>
      </c>
      <c r="O19" s="182" t="s">
        <v>84</v>
      </c>
      <c r="P19" s="182" t="s">
        <v>85</v>
      </c>
      <c r="Q19" s="182" t="s">
        <v>86</v>
      </c>
      <c r="R19" s="183" t="s">
        <v>2</v>
      </c>
    </row>
    <row r="20" spans="1:18" s="50" customFormat="1" ht="12.75" customHeight="1" x14ac:dyDescent="0.25">
      <c r="A20" s="112">
        <v>1</v>
      </c>
      <c r="B20" s="184">
        <f>DATE($R$1,A20,1)</f>
        <v>44927</v>
      </c>
      <c r="C20" s="225">
        <v>44960</v>
      </c>
      <c r="D20" s="225">
        <v>44981</v>
      </c>
      <c r="E20" s="185" t="s">
        <v>21</v>
      </c>
      <c r="F20" s="112">
        <v>9</v>
      </c>
      <c r="G20" s="186">
        <v>2810</v>
      </c>
      <c r="H20" s="187">
        <f>+$K$3</f>
        <v>970.91</v>
      </c>
      <c r="I20" s="187">
        <f t="shared" ref="I20:I63" si="1">$J$3</f>
        <v>919.96</v>
      </c>
      <c r="J20" s="188">
        <f t="shared" ref="J20:J108" si="2">+$G20*I20</f>
        <v>2585087.6</v>
      </c>
      <c r="K20" s="189">
        <f>+$G20*H20</f>
        <v>2728257.1</v>
      </c>
      <c r="L20" s="190">
        <f t="shared" ref="L20:L34" si="3">+J20-K20</f>
        <v>-143169.5</v>
      </c>
      <c r="M20" s="191">
        <f>G20/$G$212*$M$14</f>
        <v>-11734.201830755697</v>
      </c>
      <c r="N20" s="192">
        <f>SUM(L20:M20)</f>
        <v>-154903.70183075569</v>
      </c>
      <c r="O20" s="191">
        <v>0</v>
      </c>
      <c r="P20" s="191">
        <v>0</v>
      </c>
      <c r="Q20" s="191">
        <v>0</v>
      </c>
      <c r="R20" s="192">
        <f>+N20-Q20</f>
        <v>-154903.70183075569</v>
      </c>
    </row>
    <row r="21" spans="1:18" x14ac:dyDescent="0.25">
      <c r="A21" s="149">
        <v>2</v>
      </c>
      <c r="B21" s="184">
        <f t="shared" ref="B21:B108" si="4">DATE($R$1,A21,1)</f>
        <v>44958</v>
      </c>
      <c r="C21" s="225">
        <v>44988</v>
      </c>
      <c r="D21" s="225">
        <v>45009</v>
      </c>
      <c r="E21" s="193" t="s">
        <v>21</v>
      </c>
      <c r="F21" s="149">
        <v>9</v>
      </c>
      <c r="G21" s="186">
        <v>2771</v>
      </c>
      <c r="H21" s="187">
        <f t="shared" ref="H21:H84" si="5">+$K$3</f>
        <v>970.91</v>
      </c>
      <c r="I21" s="187">
        <f t="shared" si="1"/>
        <v>919.96</v>
      </c>
      <c r="J21" s="188">
        <f t="shared" si="2"/>
        <v>2549209.16</v>
      </c>
      <c r="K21" s="189">
        <f t="shared" ref="K21:K33" si="6">+$G21*H21</f>
        <v>2690391.61</v>
      </c>
      <c r="L21" s="190">
        <f t="shared" si="3"/>
        <v>-141182.44999999972</v>
      </c>
      <c r="M21" s="191">
        <f t="shared" ref="M21:M84" si="7">G21/$G$212*$M$14</f>
        <v>-11571.342801787914</v>
      </c>
      <c r="N21" s="192">
        <f t="shared" ref="N21:N84" si="8">SUM(L21:M21)</f>
        <v>-152753.79280178764</v>
      </c>
      <c r="O21" s="191">
        <v>0</v>
      </c>
      <c r="P21" s="191">
        <v>0</v>
      </c>
      <c r="Q21" s="191">
        <v>0</v>
      </c>
      <c r="R21" s="192">
        <f t="shared" ref="R21:R84" si="9">+N21-Q21</f>
        <v>-152753.79280178764</v>
      </c>
    </row>
    <row r="22" spans="1:18" x14ac:dyDescent="0.25">
      <c r="A22" s="149">
        <v>3</v>
      </c>
      <c r="B22" s="184">
        <f t="shared" si="4"/>
        <v>44986</v>
      </c>
      <c r="C22" s="225">
        <v>45021</v>
      </c>
      <c r="D22" s="225">
        <v>45040</v>
      </c>
      <c r="E22" s="193" t="s">
        <v>21</v>
      </c>
      <c r="F22" s="149">
        <v>9</v>
      </c>
      <c r="G22" s="186">
        <v>2389</v>
      </c>
      <c r="H22" s="187">
        <f t="shared" si="5"/>
        <v>970.91</v>
      </c>
      <c r="I22" s="187">
        <f t="shared" si="1"/>
        <v>919.96</v>
      </c>
      <c r="J22" s="188">
        <f t="shared" si="2"/>
        <v>2197784.44</v>
      </c>
      <c r="K22" s="189">
        <f t="shared" si="6"/>
        <v>2319503.9899999998</v>
      </c>
      <c r="L22" s="190">
        <f t="shared" si="3"/>
        <v>-121719.54999999981</v>
      </c>
      <c r="M22" s="191">
        <f t="shared" si="7"/>
        <v>-9976.1594924111614</v>
      </c>
      <c r="N22" s="192">
        <f t="shared" si="8"/>
        <v>-131695.70949241097</v>
      </c>
      <c r="O22" s="191">
        <v>0</v>
      </c>
      <c r="P22" s="191">
        <v>0</v>
      </c>
      <c r="Q22" s="191">
        <v>0</v>
      </c>
      <c r="R22" s="192">
        <f t="shared" si="9"/>
        <v>-131695.70949241097</v>
      </c>
    </row>
    <row r="23" spans="1:18" x14ac:dyDescent="0.25">
      <c r="A23" s="112">
        <v>4</v>
      </c>
      <c r="B23" s="184">
        <f t="shared" si="4"/>
        <v>45017</v>
      </c>
      <c r="C23" s="225">
        <v>45049</v>
      </c>
      <c r="D23" s="225">
        <v>45070</v>
      </c>
      <c r="E23" s="193" t="s">
        <v>21</v>
      </c>
      <c r="F23" s="149">
        <v>9</v>
      </c>
      <c r="G23" s="186">
        <v>2392</v>
      </c>
      <c r="H23" s="187">
        <f t="shared" si="5"/>
        <v>970.91</v>
      </c>
      <c r="I23" s="187">
        <f t="shared" si="1"/>
        <v>919.96</v>
      </c>
      <c r="J23" s="188">
        <f t="shared" si="2"/>
        <v>2200544.3200000003</v>
      </c>
      <c r="K23" s="189">
        <f t="shared" si="6"/>
        <v>2322416.7199999997</v>
      </c>
      <c r="L23" s="190">
        <f t="shared" si="3"/>
        <v>-121872.39999999944</v>
      </c>
      <c r="M23" s="191">
        <f t="shared" si="7"/>
        <v>-9988.6871100240678</v>
      </c>
      <c r="N23" s="192">
        <f t="shared" si="8"/>
        <v>-131861.08711002351</v>
      </c>
      <c r="O23" s="191">
        <v>0</v>
      </c>
      <c r="P23" s="191">
        <v>0</v>
      </c>
      <c r="Q23" s="191">
        <v>0</v>
      </c>
      <c r="R23" s="192">
        <f t="shared" si="9"/>
        <v>-131861.08711002351</v>
      </c>
    </row>
    <row r="24" spans="1:18" ht="12" customHeight="1" x14ac:dyDescent="0.25">
      <c r="A24" s="149">
        <v>5</v>
      </c>
      <c r="B24" s="184">
        <f t="shared" si="4"/>
        <v>45047</v>
      </c>
      <c r="C24" s="225">
        <v>45082</v>
      </c>
      <c r="D24" s="225">
        <v>45103</v>
      </c>
      <c r="E24" s="52" t="s">
        <v>21</v>
      </c>
      <c r="F24" s="149">
        <v>9</v>
      </c>
      <c r="G24" s="186">
        <v>3231</v>
      </c>
      <c r="H24" s="187">
        <f t="shared" si="5"/>
        <v>970.91</v>
      </c>
      <c r="I24" s="187">
        <f t="shared" si="1"/>
        <v>919.96</v>
      </c>
      <c r="J24" s="188">
        <f t="shared" si="2"/>
        <v>2972390.7600000002</v>
      </c>
      <c r="K24" s="189">
        <f t="shared" si="6"/>
        <v>3137010.21</v>
      </c>
      <c r="L24" s="190">
        <f t="shared" si="3"/>
        <v>-164619.44999999972</v>
      </c>
      <c r="M24" s="191">
        <f t="shared" si="7"/>
        <v>-13492.244169100233</v>
      </c>
      <c r="N24" s="192">
        <f t="shared" si="8"/>
        <v>-178111.69416909997</v>
      </c>
      <c r="O24" s="191">
        <v>0</v>
      </c>
      <c r="P24" s="191">
        <v>0</v>
      </c>
      <c r="Q24" s="191">
        <v>0</v>
      </c>
      <c r="R24" s="192">
        <f t="shared" si="9"/>
        <v>-178111.69416909997</v>
      </c>
    </row>
    <row r="25" spans="1:18" x14ac:dyDescent="0.25">
      <c r="A25" s="149">
        <v>6</v>
      </c>
      <c r="B25" s="184">
        <f t="shared" si="4"/>
        <v>45078</v>
      </c>
      <c r="C25" s="225">
        <v>45112</v>
      </c>
      <c r="D25" s="225">
        <v>45131</v>
      </c>
      <c r="E25" s="52" t="s">
        <v>21</v>
      </c>
      <c r="F25" s="149">
        <v>9</v>
      </c>
      <c r="G25" s="186">
        <v>4100</v>
      </c>
      <c r="H25" s="187">
        <f t="shared" si="5"/>
        <v>970.91</v>
      </c>
      <c r="I25" s="187">
        <f t="shared" si="1"/>
        <v>919.96</v>
      </c>
      <c r="J25" s="188">
        <f t="shared" si="2"/>
        <v>3771836</v>
      </c>
      <c r="K25" s="189">
        <f t="shared" si="6"/>
        <v>3980731</v>
      </c>
      <c r="L25" s="194">
        <f t="shared" si="3"/>
        <v>-208895</v>
      </c>
      <c r="M25" s="191">
        <f t="shared" si="7"/>
        <v>-17121.077404305466</v>
      </c>
      <c r="N25" s="192">
        <f t="shared" si="8"/>
        <v>-226016.07740430546</v>
      </c>
      <c r="O25" s="191">
        <v>0</v>
      </c>
      <c r="P25" s="191">
        <v>0</v>
      </c>
      <c r="Q25" s="191">
        <v>0</v>
      </c>
      <c r="R25" s="192">
        <f t="shared" si="9"/>
        <v>-226016.07740430546</v>
      </c>
    </row>
    <row r="26" spans="1:18" x14ac:dyDescent="0.25">
      <c r="A26" s="112">
        <v>7</v>
      </c>
      <c r="B26" s="184">
        <f t="shared" si="4"/>
        <v>45108</v>
      </c>
      <c r="C26" s="225">
        <v>45141</v>
      </c>
      <c r="D26" s="225">
        <v>45162</v>
      </c>
      <c r="E26" s="52" t="s">
        <v>21</v>
      </c>
      <c r="F26" s="149">
        <v>9</v>
      </c>
      <c r="G26" s="186">
        <v>3988</v>
      </c>
      <c r="H26" s="187">
        <f t="shared" si="5"/>
        <v>970.91</v>
      </c>
      <c r="I26" s="187">
        <f t="shared" si="1"/>
        <v>919.96</v>
      </c>
      <c r="J26" s="188">
        <f t="shared" si="2"/>
        <v>3668800.48</v>
      </c>
      <c r="K26" s="195">
        <f t="shared" si="6"/>
        <v>3871989.08</v>
      </c>
      <c r="L26" s="194">
        <f t="shared" si="3"/>
        <v>-203188.60000000009</v>
      </c>
      <c r="M26" s="191">
        <f t="shared" si="7"/>
        <v>-16653.379680090293</v>
      </c>
      <c r="N26" s="192">
        <f t="shared" si="8"/>
        <v>-219841.97968009039</v>
      </c>
      <c r="O26" s="191">
        <v>0</v>
      </c>
      <c r="P26" s="191">
        <v>0</v>
      </c>
      <c r="Q26" s="191">
        <v>0</v>
      </c>
      <c r="R26" s="192">
        <f t="shared" si="9"/>
        <v>-219841.97968009039</v>
      </c>
    </row>
    <row r="27" spans="1:18" x14ac:dyDescent="0.25">
      <c r="A27" s="149">
        <v>8</v>
      </c>
      <c r="B27" s="184">
        <f t="shared" si="4"/>
        <v>45139</v>
      </c>
      <c r="C27" s="225">
        <v>45174</v>
      </c>
      <c r="D27" s="225">
        <v>45194</v>
      </c>
      <c r="E27" s="52" t="s">
        <v>21</v>
      </c>
      <c r="F27" s="149">
        <v>9</v>
      </c>
      <c r="G27" s="186">
        <v>4265</v>
      </c>
      <c r="H27" s="187">
        <f t="shared" si="5"/>
        <v>970.91</v>
      </c>
      <c r="I27" s="187">
        <f t="shared" si="1"/>
        <v>919.96</v>
      </c>
      <c r="J27" s="188">
        <f t="shared" si="2"/>
        <v>3923629.4000000004</v>
      </c>
      <c r="K27" s="195">
        <f t="shared" si="6"/>
        <v>4140931.15</v>
      </c>
      <c r="L27" s="194">
        <f t="shared" si="3"/>
        <v>-217301.74999999953</v>
      </c>
      <c r="M27" s="191">
        <f t="shared" si="7"/>
        <v>-17810.09637301532</v>
      </c>
      <c r="N27" s="192">
        <f t="shared" si="8"/>
        <v>-235111.84637301485</v>
      </c>
      <c r="O27" s="191">
        <v>0</v>
      </c>
      <c r="P27" s="191">
        <v>0</v>
      </c>
      <c r="Q27" s="191">
        <v>0</v>
      </c>
      <c r="R27" s="192">
        <f t="shared" si="9"/>
        <v>-235111.84637301485</v>
      </c>
    </row>
    <row r="28" spans="1:18" x14ac:dyDescent="0.25">
      <c r="A28" s="149">
        <v>9</v>
      </c>
      <c r="B28" s="184">
        <f t="shared" si="4"/>
        <v>45170</v>
      </c>
      <c r="C28" s="225">
        <v>45203</v>
      </c>
      <c r="D28" s="225">
        <v>45223</v>
      </c>
      <c r="E28" s="52" t="s">
        <v>21</v>
      </c>
      <c r="F28" s="149">
        <v>9</v>
      </c>
      <c r="G28" s="186">
        <v>4016</v>
      </c>
      <c r="H28" s="187">
        <f t="shared" si="5"/>
        <v>970.91</v>
      </c>
      <c r="I28" s="187">
        <f t="shared" si="1"/>
        <v>919.96</v>
      </c>
      <c r="J28" s="188">
        <f t="shared" si="2"/>
        <v>3694559.3600000003</v>
      </c>
      <c r="K28" s="195">
        <f t="shared" si="6"/>
        <v>3899174.56</v>
      </c>
      <c r="L28" s="194">
        <f t="shared" si="3"/>
        <v>-204615.19999999972</v>
      </c>
      <c r="M28" s="191">
        <f t="shared" si="7"/>
        <v>-16770.304111144087</v>
      </c>
      <c r="N28" s="192">
        <f t="shared" si="8"/>
        <v>-221385.50411114382</v>
      </c>
      <c r="O28" s="191">
        <v>0</v>
      </c>
      <c r="P28" s="191">
        <v>0</v>
      </c>
      <c r="Q28" s="191">
        <v>0</v>
      </c>
      <c r="R28" s="192">
        <f t="shared" si="9"/>
        <v>-221385.50411114382</v>
      </c>
    </row>
    <row r="29" spans="1:18" x14ac:dyDescent="0.25">
      <c r="A29" s="112">
        <v>10</v>
      </c>
      <c r="B29" s="184">
        <f t="shared" si="4"/>
        <v>45200</v>
      </c>
      <c r="C29" s="225">
        <v>45233</v>
      </c>
      <c r="D29" s="225">
        <v>45254</v>
      </c>
      <c r="E29" s="52" t="s">
        <v>21</v>
      </c>
      <c r="F29" s="149">
        <v>9</v>
      </c>
      <c r="G29" s="186">
        <v>3105</v>
      </c>
      <c r="H29" s="187">
        <f t="shared" si="5"/>
        <v>970.91</v>
      </c>
      <c r="I29" s="187">
        <f t="shared" si="1"/>
        <v>919.96</v>
      </c>
      <c r="J29" s="188">
        <f t="shared" si="2"/>
        <v>2856475.8000000003</v>
      </c>
      <c r="K29" s="195">
        <f t="shared" si="6"/>
        <v>3014675.55</v>
      </c>
      <c r="L29" s="194">
        <f t="shared" si="3"/>
        <v>-158199.74999999953</v>
      </c>
      <c r="M29" s="191">
        <f t="shared" si="7"/>
        <v>-12966.084229358165</v>
      </c>
      <c r="N29" s="192">
        <f t="shared" si="8"/>
        <v>-171165.83422935769</v>
      </c>
      <c r="O29" s="191">
        <v>0</v>
      </c>
      <c r="P29" s="191">
        <v>0</v>
      </c>
      <c r="Q29" s="191">
        <v>0</v>
      </c>
      <c r="R29" s="192">
        <f t="shared" si="9"/>
        <v>-171165.83422935769</v>
      </c>
    </row>
    <row r="30" spans="1:18" x14ac:dyDescent="0.25">
      <c r="A30" s="149">
        <v>11</v>
      </c>
      <c r="B30" s="184">
        <f t="shared" si="4"/>
        <v>45231</v>
      </c>
      <c r="C30" s="225">
        <v>45265</v>
      </c>
      <c r="D30" s="225">
        <v>45285</v>
      </c>
      <c r="E30" s="52" t="s">
        <v>21</v>
      </c>
      <c r="F30" s="149">
        <v>9</v>
      </c>
      <c r="G30" s="186">
        <v>2513</v>
      </c>
      <c r="H30" s="187">
        <f t="shared" si="5"/>
        <v>970.91</v>
      </c>
      <c r="I30" s="187">
        <f t="shared" si="1"/>
        <v>919.96</v>
      </c>
      <c r="J30" s="188">
        <f t="shared" si="2"/>
        <v>2311859.48</v>
      </c>
      <c r="K30" s="195">
        <f t="shared" si="6"/>
        <v>2439896.83</v>
      </c>
      <c r="L30" s="194">
        <f t="shared" si="3"/>
        <v>-128037.35000000009</v>
      </c>
      <c r="M30" s="191">
        <f t="shared" si="7"/>
        <v>-10493.96768707796</v>
      </c>
      <c r="N30" s="192">
        <f t="shared" si="8"/>
        <v>-138531.31768707806</v>
      </c>
      <c r="O30" s="191">
        <v>0</v>
      </c>
      <c r="P30" s="191">
        <v>0</v>
      </c>
      <c r="Q30" s="191">
        <v>0</v>
      </c>
      <c r="R30" s="192">
        <f t="shared" si="9"/>
        <v>-138531.31768707806</v>
      </c>
    </row>
    <row r="31" spans="1:18" x14ac:dyDescent="0.25">
      <c r="A31" s="149">
        <v>12</v>
      </c>
      <c r="B31" s="184">
        <f t="shared" si="4"/>
        <v>45261</v>
      </c>
      <c r="C31" s="226">
        <v>45294</v>
      </c>
      <c r="D31" s="227">
        <v>45315</v>
      </c>
      <c r="E31" s="52" t="s">
        <v>21</v>
      </c>
      <c r="F31" s="149">
        <v>9</v>
      </c>
      <c r="G31" s="196">
        <v>2474</v>
      </c>
      <c r="H31" s="197">
        <f t="shared" si="5"/>
        <v>970.91</v>
      </c>
      <c r="I31" s="197">
        <f t="shared" si="1"/>
        <v>919.96</v>
      </c>
      <c r="J31" s="198">
        <f t="shared" si="2"/>
        <v>2275981.04</v>
      </c>
      <c r="K31" s="199">
        <f t="shared" si="6"/>
        <v>2402031.34</v>
      </c>
      <c r="L31" s="200">
        <f t="shared" si="3"/>
        <v>-126050.29999999981</v>
      </c>
      <c r="M31" s="191">
        <f t="shared" si="7"/>
        <v>-10331.108658110177</v>
      </c>
      <c r="N31" s="192">
        <f t="shared" si="8"/>
        <v>-136381.40865810998</v>
      </c>
      <c r="O31" s="191">
        <v>0</v>
      </c>
      <c r="P31" s="191">
        <v>0</v>
      </c>
      <c r="Q31" s="191">
        <v>0</v>
      </c>
      <c r="R31" s="192">
        <f t="shared" si="9"/>
        <v>-136381.40865810998</v>
      </c>
    </row>
    <row r="32" spans="1:18" x14ac:dyDescent="0.25">
      <c r="A32" s="112">
        <v>1</v>
      </c>
      <c r="B32" s="201">
        <f t="shared" si="4"/>
        <v>44927</v>
      </c>
      <c r="C32" s="202">
        <f t="shared" ref="C32:D43" si="10">+C20</f>
        <v>44960</v>
      </c>
      <c r="D32" s="202">
        <f t="shared" si="10"/>
        <v>44981</v>
      </c>
      <c r="E32" s="203" t="s">
        <v>22</v>
      </c>
      <c r="F32" s="204">
        <v>9</v>
      </c>
      <c r="G32" s="186">
        <v>2724</v>
      </c>
      <c r="H32" s="187">
        <f t="shared" si="5"/>
        <v>970.91</v>
      </c>
      <c r="I32" s="187">
        <f t="shared" si="1"/>
        <v>919.96</v>
      </c>
      <c r="J32" s="188">
        <f t="shared" si="2"/>
        <v>2505971.04</v>
      </c>
      <c r="K32" s="189">
        <f t="shared" si="6"/>
        <v>2644758.84</v>
      </c>
      <c r="L32" s="190">
        <f t="shared" si="3"/>
        <v>-138787.79999999981</v>
      </c>
      <c r="M32" s="191">
        <f t="shared" si="7"/>
        <v>-11375.076792519047</v>
      </c>
      <c r="N32" s="192">
        <f t="shared" si="8"/>
        <v>-150162.87679251886</v>
      </c>
      <c r="O32" s="191">
        <v>0</v>
      </c>
      <c r="P32" s="191">
        <v>0</v>
      </c>
      <c r="Q32" s="191">
        <v>0</v>
      </c>
      <c r="R32" s="192">
        <f t="shared" si="9"/>
        <v>-150162.87679251886</v>
      </c>
    </row>
    <row r="33" spans="1:18" x14ac:dyDescent="0.25">
      <c r="A33" s="149">
        <v>2</v>
      </c>
      <c r="B33" s="184">
        <f t="shared" si="4"/>
        <v>44958</v>
      </c>
      <c r="C33" s="205">
        <f t="shared" si="10"/>
        <v>44988</v>
      </c>
      <c r="D33" s="205">
        <f t="shared" si="10"/>
        <v>45009</v>
      </c>
      <c r="E33" s="193" t="s">
        <v>22</v>
      </c>
      <c r="F33" s="149">
        <v>9</v>
      </c>
      <c r="G33" s="186">
        <v>2757</v>
      </c>
      <c r="H33" s="187">
        <f t="shared" si="5"/>
        <v>970.91</v>
      </c>
      <c r="I33" s="187">
        <f t="shared" si="1"/>
        <v>919.96</v>
      </c>
      <c r="J33" s="188">
        <f t="shared" si="2"/>
        <v>2536329.7200000002</v>
      </c>
      <c r="K33" s="189">
        <f t="shared" si="6"/>
        <v>2676798.87</v>
      </c>
      <c r="L33" s="190">
        <f t="shared" si="3"/>
        <v>-140469.14999999991</v>
      </c>
      <c r="M33" s="191">
        <f t="shared" si="7"/>
        <v>-11512.880586261017</v>
      </c>
      <c r="N33" s="192">
        <f t="shared" si="8"/>
        <v>-151982.03058626092</v>
      </c>
      <c r="O33" s="191">
        <v>0</v>
      </c>
      <c r="P33" s="191">
        <v>0</v>
      </c>
      <c r="Q33" s="191">
        <v>0</v>
      </c>
      <c r="R33" s="192">
        <f t="shared" si="9"/>
        <v>-151982.03058626092</v>
      </c>
    </row>
    <row r="34" spans="1:18" x14ac:dyDescent="0.25">
      <c r="A34" s="149">
        <v>3</v>
      </c>
      <c r="B34" s="184">
        <f t="shared" si="4"/>
        <v>44986</v>
      </c>
      <c r="C34" s="205">
        <f t="shared" si="10"/>
        <v>45021</v>
      </c>
      <c r="D34" s="205">
        <f t="shared" si="10"/>
        <v>45040</v>
      </c>
      <c r="E34" s="193" t="s">
        <v>22</v>
      </c>
      <c r="F34" s="149">
        <v>9</v>
      </c>
      <c r="G34" s="186">
        <v>2641</v>
      </c>
      <c r="H34" s="187">
        <f t="shared" si="5"/>
        <v>970.91</v>
      </c>
      <c r="I34" s="187">
        <f t="shared" si="1"/>
        <v>919.96</v>
      </c>
      <c r="J34" s="188">
        <f t="shared" si="2"/>
        <v>2429614.36</v>
      </c>
      <c r="K34" s="189">
        <f t="shared" ref="K34:K93" si="11">+$G34*H34</f>
        <v>2564173.31</v>
      </c>
      <c r="L34" s="190">
        <f t="shared" si="3"/>
        <v>-134558.95000000019</v>
      </c>
      <c r="M34" s="191">
        <f t="shared" si="7"/>
        <v>-11028.479371895302</v>
      </c>
      <c r="N34" s="192">
        <f t="shared" si="8"/>
        <v>-145587.4293718955</v>
      </c>
      <c r="O34" s="191">
        <v>0</v>
      </c>
      <c r="P34" s="191">
        <v>0</v>
      </c>
      <c r="Q34" s="191">
        <v>0</v>
      </c>
      <c r="R34" s="192">
        <f t="shared" si="9"/>
        <v>-145587.4293718955</v>
      </c>
    </row>
    <row r="35" spans="1:18" x14ac:dyDescent="0.25">
      <c r="A35" s="112">
        <v>4</v>
      </c>
      <c r="B35" s="184">
        <f t="shared" si="4"/>
        <v>45017</v>
      </c>
      <c r="C35" s="205">
        <f t="shared" si="10"/>
        <v>45049</v>
      </c>
      <c r="D35" s="205">
        <f t="shared" si="10"/>
        <v>45070</v>
      </c>
      <c r="E35" s="193" t="s">
        <v>22</v>
      </c>
      <c r="F35" s="149">
        <v>9</v>
      </c>
      <c r="G35" s="186">
        <v>2417</v>
      </c>
      <c r="H35" s="187">
        <f t="shared" si="5"/>
        <v>970.91</v>
      </c>
      <c r="I35" s="187">
        <f t="shared" si="1"/>
        <v>919.96</v>
      </c>
      <c r="J35" s="188">
        <f t="shared" si="2"/>
        <v>2223543.3200000003</v>
      </c>
      <c r="K35" s="189">
        <f t="shared" si="11"/>
        <v>2346689.4699999997</v>
      </c>
      <c r="L35" s="190">
        <f t="shared" ref="L35:L57" si="12">+J35-K35</f>
        <v>-123146.14999999944</v>
      </c>
      <c r="M35" s="191">
        <f t="shared" si="7"/>
        <v>-10093.083923464954</v>
      </c>
      <c r="N35" s="192">
        <f t="shared" si="8"/>
        <v>-133239.2339234644</v>
      </c>
      <c r="O35" s="191">
        <v>0</v>
      </c>
      <c r="P35" s="191">
        <v>0</v>
      </c>
      <c r="Q35" s="191">
        <v>0</v>
      </c>
      <c r="R35" s="192">
        <f t="shared" si="9"/>
        <v>-133239.2339234644</v>
      </c>
    </row>
    <row r="36" spans="1:18" x14ac:dyDescent="0.25">
      <c r="A36" s="149">
        <v>5</v>
      </c>
      <c r="B36" s="184">
        <f t="shared" si="4"/>
        <v>45047</v>
      </c>
      <c r="C36" s="205">
        <f t="shared" si="10"/>
        <v>45082</v>
      </c>
      <c r="D36" s="205">
        <f t="shared" si="10"/>
        <v>45103</v>
      </c>
      <c r="E36" s="52" t="s">
        <v>22</v>
      </c>
      <c r="F36" s="149">
        <v>9</v>
      </c>
      <c r="G36" s="186">
        <v>2844</v>
      </c>
      <c r="H36" s="187">
        <f t="shared" si="5"/>
        <v>970.91</v>
      </c>
      <c r="I36" s="187">
        <f t="shared" si="1"/>
        <v>919.96</v>
      </c>
      <c r="J36" s="188">
        <f t="shared" si="2"/>
        <v>2616366.2400000002</v>
      </c>
      <c r="K36" s="189">
        <f t="shared" si="11"/>
        <v>2761268.04</v>
      </c>
      <c r="L36" s="190">
        <f t="shared" si="12"/>
        <v>-144901.79999999981</v>
      </c>
      <c r="M36" s="191">
        <f t="shared" si="7"/>
        <v>-11876.181497035304</v>
      </c>
      <c r="N36" s="192">
        <f t="shared" si="8"/>
        <v>-156777.98149703513</v>
      </c>
      <c r="O36" s="191">
        <v>0</v>
      </c>
      <c r="P36" s="191">
        <v>0</v>
      </c>
      <c r="Q36" s="191">
        <v>0</v>
      </c>
      <c r="R36" s="192">
        <f t="shared" si="9"/>
        <v>-156777.98149703513</v>
      </c>
    </row>
    <row r="37" spans="1:18" x14ac:dyDescent="0.25">
      <c r="A37" s="149">
        <v>6</v>
      </c>
      <c r="B37" s="184">
        <f t="shared" si="4"/>
        <v>45078</v>
      </c>
      <c r="C37" s="205">
        <f t="shared" si="10"/>
        <v>45112</v>
      </c>
      <c r="D37" s="205">
        <f t="shared" si="10"/>
        <v>45131</v>
      </c>
      <c r="E37" s="52" t="s">
        <v>22</v>
      </c>
      <c r="F37" s="149">
        <v>9</v>
      </c>
      <c r="G37" s="186">
        <v>3500</v>
      </c>
      <c r="H37" s="187">
        <f t="shared" si="5"/>
        <v>970.91</v>
      </c>
      <c r="I37" s="187">
        <f t="shared" si="1"/>
        <v>919.96</v>
      </c>
      <c r="J37" s="188">
        <f t="shared" si="2"/>
        <v>3219860</v>
      </c>
      <c r="K37" s="189">
        <f t="shared" si="11"/>
        <v>3398185</v>
      </c>
      <c r="L37" s="194">
        <f t="shared" si="12"/>
        <v>-178325</v>
      </c>
      <c r="M37" s="191">
        <f t="shared" si="7"/>
        <v>-14615.553881724178</v>
      </c>
      <c r="N37" s="192">
        <f t="shared" si="8"/>
        <v>-192940.55388172419</v>
      </c>
      <c r="O37" s="191">
        <v>0</v>
      </c>
      <c r="P37" s="191">
        <v>0</v>
      </c>
      <c r="Q37" s="191">
        <v>0</v>
      </c>
      <c r="R37" s="192">
        <f t="shared" si="9"/>
        <v>-192940.55388172419</v>
      </c>
    </row>
    <row r="38" spans="1:18" x14ac:dyDescent="0.25">
      <c r="A38" s="112">
        <v>7</v>
      </c>
      <c r="B38" s="184">
        <f t="shared" si="4"/>
        <v>45108</v>
      </c>
      <c r="C38" s="205">
        <f t="shared" si="10"/>
        <v>45141</v>
      </c>
      <c r="D38" s="205">
        <f t="shared" si="10"/>
        <v>45162</v>
      </c>
      <c r="E38" s="52" t="s">
        <v>22</v>
      </c>
      <c r="F38" s="149">
        <v>9</v>
      </c>
      <c r="G38" s="186">
        <v>3569</v>
      </c>
      <c r="H38" s="187">
        <f t="shared" si="5"/>
        <v>970.91</v>
      </c>
      <c r="I38" s="187">
        <f t="shared" si="1"/>
        <v>919.96</v>
      </c>
      <c r="J38" s="188">
        <f t="shared" si="2"/>
        <v>3283337.24</v>
      </c>
      <c r="K38" s="195">
        <f t="shared" si="11"/>
        <v>3465177.79</v>
      </c>
      <c r="L38" s="194">
        <f t="shared" si="12"/>
        <v>-181840.54999999981</v>
      </c>
      <c r="M38" s="191">
        <f t="shared" si="7"/>
        <v>-14903.689086821027</v>
      </c>
      <c r="N38" s="192">
        <f t="shared" si="8"/>
        <v>-196744.23908682083</v>
      </c>
      <c r="O38" s="191">
        <v>0</v>
      </c>
      <c r="P38" s="191">
        <v>0</v>
      </c>
      <c r="Q38" s="191">
        <v>0</v>
      </c>
      <c r="R38" s="192">
        <f t="shared" si="9"/>
        <v>-196744.23908682083</v>
      </c>
    </row>
    <row r="39" spans="1:18" x14ac:dyDescent="0.25">
      <c r="A39" s="149">
        <v>8</v>
      </c>
      <c r="B39" s="184">
        <f t="shared" si="4"/>
        <v>45139</v>
      </c>
      <c r="C39" s="205">
        <f t="shared" si="10"/>
        <v>45174</v>
      </c>
      <c r="D39" s="205">
        <f t="shared" si="10"/>
        <v>45194</v>
      </c>
      <c r="E39" s="52" t="s">
        <v>22</v>
      </c>
      <c r="F39" s="149">
        <v>9</v>
      </c>
      <c r="G39" s="186">
        <v>3766</v>
      </c>
      <c r="H39" s="187">
        <f t="shared" si="5"/>
        <v>970.91</v>
      </c>
      <c r="I39" s="187">
        <f t="shared" si="1"/>
        <v>919.96</v>
      </c>
      <c r="J39" s="188">
        <f t="shared" si="2"/>
        <v>3464569.3600000003</v>
      </c>
      <c r="K39" s="195">
        <f t="shared" si="11"/>
        <v>3656447.06</v>
      </c>
      <c r="L39" s="194">
        <f t="shared" si="12"/>
        <v>-191877.69999999972</v>
      </c>
      <c r="M39" s="191">
        <f t="shared" si="7"/>
        <v>-15726.335976735216</v>
      </c>
      <c r="N39" s="192">
        <f t="shared" si="8"/>
        <v>-207604.03597673494</v>
      </c>
      <c r="O39" s="191">
        <v>0</v>
      </c>
      <c r="P39" s="191">
        <v>0</v>
      </c>
      <c r="Q39" s="191">
        <v>0</v>
      </c>
      <c r="R39" s="192">
        <f t="shared" si="9"/>
        <v>-207604.03597673494</v>
      </c>
    </row>
    <row r="40" spans="1:18" x14ac:dyDescent="0.25">
      <c r="A40" s="149">
        <v>9</v>
      </c>
      <c r="B40" s="184">
        <f t="shared" si="4"/>
        <v>45170</v>
      </c>
      <c r="C40" s="205">
        <f t="shared" si="10"/>
        <v>45203</v>
      </c>
      <c r="D40" s="205">
        <f t="shared" si="10"/>
        <v>45223</v>
      </c>
      <c r="E40" s="52" t="s">
        <v>22</v>
      </c>
      <c r="F40" s="149">
        <v>9</v>
      </c>
      <c r="G40" s="186">
        <v>3456</v>
      </c>
      <c r="H40" s="187">
        <f t="shared" si="5"/>
        <v>970.91</v>
      </c>
      <c r="I40" s="187">
        <f t="shared" si="1"/>
        <v>919.96</v>
      </c>
      <c r="J40" s="188">
        <f t="shared" si="2"/>
        <v>3179381.7600000002</v>
      </c>
      <c r="K40" s="195">
        <f t="shared" si="11"/>
        <v>3355464.96</v>
      </c>
      <c r="L40" s="194">
        <f t="shared" si="12"/>
        <v>-176083.19999999972</v>
      </c>
      <c r="M40" s="191">
        <f t="shared" si="7"/>
        <v>-14431.815490068218</v>
      </c>
      <c r="N40" s="192">
        <f t="shared" si="8"/>
        <v>-190515.01549006795</v>
      </c>
      <c r="O40" s="191">
        <v>0</v>
      </c>
      <c r="P40" s="191">
        <v>0</v>
      </c>
      <c r="Q40" s="191">
        <v>0</v>
      </c>
      <c r="R40" s="192">
        <f t="shared" si="9"/>
        <v>-190515.01549006795</v>
      </c>
    </row>
    <row r="41" spans="1:18" x14ac:dyDescent="0.25">
      <c r="A41" s="112">
        <v>10</v>
      </c>
      <c r="B41" s="184">
        <f t="shared" si="4"/>
        <v>45200</v>
      </c>
      <c r="C41" s="205">
        <f t="shared" si="10"/>
        <v>45233</v>
      </c>
      <c r="D41" s="205">
        <f t="shared" si="10"/>
        <v>45254</v>
      </c>
      <c r="E41" s="52" t="s">
        <v>22</v>
      </c>
      <c r="F41" s="149">
        <v>9</v>
      </c>
      <c r="G41" s="186">
        <v>2810</v>
      </c>
      <c r="H41" s="187">
        <f t="shared" si="5"/>
        <v>970.91</v>
      </c>
      <c r="I41" s="187">
        <f t="shared" si="1"/>
        <v>919.96</v>
      </c>
      <c r="J41" s="188">
        <f t="shared" si="2"/>
        <v>2585087.6</v>
      </c>
      <c r="K41" s="195">
        <f t="shared" si="11"/>
        <v>2728257.1</v>
      </c>
      <c r="L41" s="194">
        <f t="shared" si="12"/>
        <v>-143169.5</v>
      </c>
      <c r="M41" s="191">
        <f t="shared" si="7"/>
        <v>-11734.201830755697</v>
      </c>
      <c r="N41" s="192">
        <f t="shared" si="8"/>
        <v>-154903.70183075569</v>
      </c>
      <c r="O41" s="191">
        <v>0</v>
      </c>
      <c r="P41" s="191">
        <v>0</v>
      </c>
      <c r="Q41" s="191">
        <v>0</v>
      </c>
      <c r="R41" s="192">
        <f t="shared" si="9"/>
        <v>-154903.70183075569</v>
      </c>
    </row>
    <row r="42" spans="1:18" x14ac:dyDescent="0.25">
      <c r="A42" s="149">
        <v>11</v>
      </c>
      <c r="B42" s="184">
        <f t="shared" si="4"/>
        <v>45231</v>
      </c>
      <c r="C42" s="205">
        <f t="shared" si="10"/>
        <v>45265</v>
      </c>
      <c r="D42" s="205">
        <f t="shared" si="10"/>
        <v>45285</v>
      </c>
      <c r="E42" s="52" t="s">
        <v>22</v>
      </c>
      <c r="F42" s="149">
        <v>9</v>
      </c>
      <c r="G42" s="186">
        <v>2499</v>
      </c>
      <c r="H42" s="187">
        <f t="shared" si="5"/>
        <v>970.91</v>
      </c>
      <c r="I42" s="187">
        <f t="shared" si="1"/>
        <v>919.96</v>
      </c>
      <c r="J42" s="188">
        <f t="shared" si="2"/>
        <v>2298980.04</v>
      </c>
      <c r="K42" s="195">
        <f t="shared" si="11"/>
        <v>2426304.09</v>
      </c>
      <c r="L42" s="194">
        <f t="shared" si="12"/>
        <v>-127324.04999999981</v>
      </c>
      <c r="M42" s="191">
        <f t="shared" si="7"/>
        <v>-10435.505471551063</v>
      </c>
      <c r="N42" s="192">
        <f t="shared" si="8"/>
        <v>-137759.55547155088</v>
      </c>
      <c r="O42" s="191">
        <v>0</v>
      </c>
      <c r="P42" s="191">
        <v>0</v>
      </c>
      <c r="Q42" s="191">
        <v>0</v>
      </c>
      <c r="R42" s="192">
        <f t="shared" si="9"/>
        <v>-137759.55547155088</v>
      </c>
    </row>
    <row r="43" spans="1:18" x14ac:dyDescent="0.25">
      <c r="A43" s="149">
        <v>12</v>
      </c>
      <c r="B43" s="184">
        <f t="shared" si="4"/>
        <v>45261</v>
      </c>
      <c r="C43" s="205">
        <f t="shared" si="10"/>
        <v>45294</v>
      </c>
      <c r="D43" s="205">
        <f t="shared" si="10"/>
        <v>45315</v>
      </c>
      <c r="E43" s="52" t="s">
        <v>22</v>
      </c>
      <c r="F43" s="149">
        <v>9</v>
      </c>
      <c r="G43" s="186">
        <v>2532</v>
      </c>
      <c r="H43" s="197">
        <f t="shared" si="5"/>
        <v>970.91</v>
      </c>
      <c r="I43" s="197">
        <f t="shared" si="1"/>
        <v>919.96</v>
      </c>
      <c r="J43" s="198">
        <f t="shared" si="2"/>
        <v>2329338.7200000002</v>
      </c>
      <c r="K43" s="199">
        <f t="shared" si="11"/>
        <v>2458344.12</v>
      </c>
      <c r="L43" s="200">
        <f t="shared" si="12"/>
        <v>-129005.39999999991</v>
      </c>
      <c r="M43" s="191">
        <f t="shared" si="7"/>
        <v>-10573.309265293034</v>
      </c>
      <c r="N43" s="192">
        <f t="shared" si="8"/>
        <v>-139578.70926529294</v>
      </c>
      <c r="O43" s="191">
        <v>0</v>
      </c>
      <c r="P43" s="191">
        <v>0</v>
      </c>
      <c r="Q43" s="191">
        <v>0</v>
      </c>
      <c r="R43" s="192">
        <f t="shared" si="9"/>
        <v>-139578.70926529294</v>
      </c>
    </row>
    <row r="44" spans="1:18" x14ac:dyDescent="0.25">
      <c r="A44" s="112">
        <v>1</v>
      </c>
      <c r="B44" s="201">
        <f t="shared" ref="B44:B55" si="13">DATE($R$1,A44,1)</f>
        <v>44927</v>
      </c>
      <c r="C44" s="202">
        <f t="shared" ref="C44:D55" si="14">+C32</f>
        <v>44960</v>
      </c>
      <c r="D44" s="202">
        <f t="shared" si="14"/>
        <v>44981</v>
      </c>
      <c r="E44" s="203" t="s">
        <v>81</v>
      </c>
      <c r="F44" s="204">
        <v>9</v>
      </c>
      <c r="G44" s="186">
        <v>137</v>
      </c>
      <c r="H44" s="187">
        <f t="shared" si="5"/>
        <v>970.91</v>
      </c>
      <c r="I44" s="187">
        <f t="shared" si="1"/>
        <v>919.96</v>
      </c>
      <c r="J44" s="191">
        <f t="shared" ref="J44:J55" si="15">+$G44*I44</f>
        <v>126034.52</v>
      </c>
      <c r="K44" s="195">
        <f t="shared" ref="K44:K55" si="16">+$G44*H44</f>
        <v>133014.66999999998</v>
      </c>
      <c r="L44" s="194">
        <f t="shared" ref="L44:L55" si="17">+J44-K44</f>
        <v>-6980.1499999999796</v>
      </c>
      <c r="M44" s="191">
        <f t="shared" si="7"/>
        <v>-572.09453765606065</v>
      </c>
      <c r="N44" s="192">
        <f t="shared" si="8"/>
        <v>-7552.2445376560399</v>
      </c>
      <c r="O44" s="191">
        <v>0</v>
      </c>
      <c r="P44" s="191">
        <v>0</v>
      </c>
      <c r="Q44" s="191">
        <v>0</v>
      </c>
      <c r="R44" s="192">
        <f t="shared" si="9"/>
        <v>-7552.2445376560399</v>
      </c>
    </row>
    <row r="45" spans="1:18" x14ac:dyDescent="0.25">
      <c r="A45" s="149">
        <v>2</v>
      </c>
      <c r="B45" s="184">
        <f t="shared" si="13"/>
        <v>44958</v>
      </c>
      <c r="C45" s="205">
        <f t="shared" si="14"/>
        <v>44988</v>
      </c>
      <c r="D45" s="205">
        <f t="shared" si="14"/>
        <v>45009</v>
      </c>
      <c r="E45" s="193" t="s">
        <v>81</v>
      </c>
      <c r="F45" s="149">
        <v>9</v>
      </c>
      <c r="G45" s="186">
        <v>132</v>
      </c>
      <c r="H45" s="187">
        <f t="shared" si="5"/>
        <v>970.91</v>
      </c>
      <c r="I45" s="187">
        <f t="shared" si="1"/>
        <v>919.96</v>
      </c>
      <c r="J45" s="191">
        <f t="shared" si="15"/>
        <v>121434.72</v>
      </c>
      <c r="K45" s="195">
        <f t="shared" si="16"/>
        <v>128160.12</v>
      </c>
      <c r="L45" s="194">
        <f t="shared" si="17"/>
        <v>-6725.3999999999942</v>
      </c>
      <c r="M45" s="191">
        <f t="shared" si="7"/>
        <v>-551.21517496788329</v>
      </c>
      <c r="N45" s="192">
        <f t="shared" si="8"/>
        <v>-7276.6151749678775</v>
      </c>
      <c r="O45" s="191">
        <v>0</v>
      </c>
      <c r="P45" s="191">
        <v>0</v>
      </c>
      <c r="Q45" s="191">
        <v>0</v>
      </c>
      <c r="R45" s="192">
        <f t="shared" si="9"/>
        <v>-7276.6151749678775</v>
      </c>
    </row>
    <row r="46" spans="1:18" x14ac:dyDescent="0.25">
      <c r="A46" s="149">
        <v>3</v>
      </c>
      <c r="B46" s="184">
        <f t="shared" si="13"/>
        <v>44986</v>
      </c>
      <c r="C46" s="205">
        <f t="shared" si="14"/>
        <v>45021</v>
      </c>
      <c r="D46" s="205">
        <f t="shared" si="14"/>
        <v>45040</v>
      </c>
      <c r="E46" s="193" t="s">
        <v>81</v>
      </c>
      <c r="F46" s="149">
        <v>9</v>
      </c>
      <c r="G46" s="186">
        <v>148</v>
      </c>
      <c r="H46" s="187">
        <f t="shared" si="5"/>
        <v>970.91</v>
      </c>
      <c r="I46" s="187">
        <f t="shared" si="1"/>
        <v>919.96</v>
      </c>
      <c r="J46" s="191">
        <f t="shared" si="15"/>
        <v>136154.08000000002</v>
      </c>
      <c r="K46" s="195">
        <f t="shared" si="16"/>
        <v>143694.68</v>
      </c>
      <c r="L46" s="194">
        <f t="shared" si="17"/>
        <v>-7540.5999999999767</v>
      </c>
      <c r="M46" s="191">
        <f t="shared" si="7"/>
        <v>-618.02913557005093</v>
      </c>
      <c r="N46" s="192">
        <f t="shared" si="8"/>
        <v>-8158.6291355700278</v>
      </c>
      <c r="O46" s="191">
        <v>0</v>
      </c>
      <c r="P46" s="191">
        <v>0</v>
      </c>
      <c r="Q46" s="191">
        <v>0</v>
      </c>
      <c r="R46" s="192">
        <f t="shared" si="9"/>
        <v>-8158.6291355700278</v>
      </c>
    </row>
    <row r="47" spans="1:18" x14ac:dyDescent="0.25">
      <c r="A47" s="112">
        <v>4</v>
      </c>
      <c r="B47" s="184">
        <f t="shared" si="13"/>
        <v>45017</v>
      </c>
      <c r="C47" s="205">
        <f t="shared" si="14"/>
        <v>45049</v>
      </c>
      <c r="D47" s="205">
        <f t="shared" si="14"/>
        <v>45070</v>
      </c>
      <c r="E47" s="193" t="s">
        <v>81</v>
      </c>
      <c r="F47" s="149">
        <v>9</v>
      </c>
      <c r="G47" s="186">
        <v>92</v>
      </c>
      <c r="H47" s="187">
        <f t="shared" si="5"/>
        <v>970.91</v>
      </c>
      <c r="I47" s="187">
        <f t="shared" si="1"/>
        <v>919.96</v>
      </c>
      <c r="J47" s="191">
        <f t="shared" si="15"/>
        <v>84636.32</v>
      </c>
      <c r="K47" s="195">
        <f t="shared" si="16"/>
        <v>89323.72</v>
      </c>
      <c r="L47" s="194">
        <f t="shared" si="17"/>
        <v>-4687.3999999999942</v>
      </c>
      <c r="M47" s="191">
        <f t="shared" si="7"/>
        <v>-384.18027346246413</v>
      </c>
      <c r="N47" s="192">
        <f t="shared" si="8"/>
        <v>-5071.5802734624585</v>
      </c>
      <c r="O47" s="191">
        <v>0</v>
      </c>
      <c r="P47" s="191">
        <v>0</v>
      </c>
      <c r="Q47" s="191">
        <v>0</v>
      </c>
      <c r="R47" s="192">
        <f t="shared" si="9"/>
        <v>-5071.5802734624585</v>
      </c>
    </row>
    <row r="48" spans="1:18" x14ac:dyDescent="0.25">
      <c r="A48" s="149">
        <v>5</v>
      </c>
      <c r="B48" s="184">
        <f t="shared" si="13"/>
        <v>45047</v>
      </c>
      <c r="C48" s="205">
        <f t="shared" si="14"/>
        <v>45082</v>
      </c>
      <c r="D48" s="205">
        <f t="shared" si="14"/>
        <v>45103</v>
      </c>
      <c r="E48" s="193" t="s">
        <v>81</v>
      </c>
      <c r="F48" s="149">
        <v>9</v>
      </c>
      <c r="G48" s="186">
        <v>104</v>
      </c>
      <c r="H48" s="187">
        <f t="shared" si="5"/>
        <v>970.91</v>
      </c>
      <c r="I48" s="187">
        <f t="shared" si="1"/>
        <v>919.96</v>
      </c>
      <c r="J48" s="191">
        <f t="shared" si="15"/>
        <v>95675.839999999997</v>
      </c>
      <c r="K48" s="195">
        <f t="shared" si="16"/>
        <v>100974.64</v>
      </c>
      <c r="L48" s="194">
        <f t="shared" si="17"/>
        <v>-5298.8000000000029</v>
      </c>
      <c r="M48" s="191">
        <f t="shared" si="7"/>
        <v>-434.29074391408983</v>
      </c>
      <c r="N48" s="192">
        <f t="shared" si="8"/>
        <v>-5733.0907439140929</v>
      </c>
      <c r="O48" s="191">
        <v>0</v>
      </c>
      <c r="P48" s="191">
        <v>0</v>
      </c>
      <c r="Q48" s="191">
        <v>0</v>
      </c>
      <c r="R48" s="192">
        <f t="shared" si="9"/>
        <v>-5733.0907439140929</v>
      </c>
    </row>
    <row r="49" spans="1:18" x14ac:dyDescent="0.25">
      <c r="A49" s="149">
        <v>6</v>
      </c>
      <c r="B49" s="184">
        <f t="shared" si="13"/>
        <v>45078</v>
      </c>
      <c r="C49" s="205">
        <f t="shared" si="14"/>
        <v>45112</v>
      </c>
      <c r="D49" s="205">
        <f t="shared" si="14"/>
        <v>45131</v>
      </c>
      <c r="E49" s="193" t="s">
        <v>81</v>
      </c>
      <c r="F49" s="149">
        <v>9</v>
      </c>
      <c r="G49" s="186">
        <v>156</v>
      </c>
      <c r="H49" s="187">
        <f t="shared" si="5"/>
        <v>970.91</v>
      </c>
      <c r="I49" s="187">
        <f t="shared" si="1"/>
        <v>919.96</v>
      </c>
      <c r="J49" s="191">
        <f t="shared" si="15"/>
        <v>143513.76</v>
      </c>
      <c r="K49" s="195">
        <f t="shared" si="16"/>
        <v>151461.96</v>
      </c>
      <c r="L49" s="194">
        <f t="shared" si="17"/>
        <v>-7948.1999999999825</v>
      </c>
      <c r="M49" s="191">
        <f t="shared" si="7"/>
        <v>-651.4361158711348</v>
      </c>
      <c r="N49" s="192">
        <f t="shared" si="8"/>
        <v>-8599.636115871117</v>
      </c>
      <c r="O49" s="191">
        <v>0</v>
      </c>
      <c r="P49" s="191">
        <v>0</v>
      </c>
      <c r="Q49" s="191">
        <v>0</v>
      </c>
      <c r="R49" s="192">
        <f t="shared" si="9"/>
        <v>-8599.636115871117</v>
      </c>
    </row>
    <row r="50" spans="1:18" x14ac:dyDescent="0.25">
      <c r="A50" s="112">
        <v>7</v>
      </c>
      <c r="B50" s="184">
        <f t="shared" si="13"/>
        <v>45108</v>
      </c>
      <c r="C50" s="205">
        <f t="shared" si="14"/>
        <v>45141</v>
      </c>
      <c r="D50" s="205">
        <f t="shared" si="14"/>
        <v>45162</v>
      </c>
      <c r="E50" s="193" t="s">
        <v>81</v>
      </c>
      <c r="F50" s="149">
        <v>9</v>
      </c>
      <c r="G50" s="186">
        <v>155</v>
      </c>
      <c r="H50" s="187">
        <f t="shared" si="5"/>
        <v>970.91</v>
      </c>
      <c r="I50" s="187">
        <f t="shared" si="1"/>
        <v>919.96</v>
      </c>
      <c r="J50" s="191">
        <f t="shared" si="15"/>
        <v>142593.80000000002</v>
      </c>
      <c r="K50" s="195">
        <f t="shared" si="16"/>
        <v>150491.04999999999</v>
      </c>
      <c r="L50" s="194">
        <f t="shared" si="17"/>
        <v>-7897.2499999999709</v>
      </c>
      <c r="M50" s="191">
        <f t="shared" si="7"/>
        <v>-647.26024333349926</v>
      </c>
      <c r="N50" s="192">
        <f t="shared" si="8"/>
        <v>-8544.5102433334705</v>
      </c>
      <c r="O50" s="191">
        <v>0</v>
      </c>
      <c r="P50" s="191">
        <v>0</v>
      </c>
      <c r="Q50" s="191">
        <v>0</v>
      </c>
      <c r="R50" s="192">
        <f t="shared" si="9"/>
        <v>-8544.5102433334705</v>
      </c>
    </row>
    <row r="51" spans="1:18" x14ac:dyDescent="0.25">
      <c r="A51" s="149">
        <v>8</v>
      </c>
      <c r="B51" s="184">
        <f t="shared" si="13"/>
        <v>45139</v>
      </c>
      <c r="C51" s="205">
        <f t="shared" si="14"/>
        <v>45174</v>
      </c>
      <c r="D51" s="205">
        <f t="shared" si="14"/>
        <v>45194</v>
      </c>
      <c r="E51" s="193" t="s">
        <v>81</v>
      </c>
      <c r="F51" s="149">
        <v>9</v>
      </c>
      <c r="G51" s="186">
        <v>159</v>
      </c>
      <c r="H51" s="187">
        <f t="shared" si="5"/>
        <v>970.91</v>
      </c>
      <c r="I51" s="187">
        <f t="shared" si="1"/>
        <v>919.96</v>
      </c>
      <c r="J51" s="191">
        <f t="shared" si="15"/>
        <v>146273.64000000001</v>
      </c>
      <c r="K51" s="195">
        <f t="shared" si="16"/>
        <v>154374.69</v>
      </c>
      <c r="L51" s="194">
        <f t="shared" si="17"/>
        <v>-8101.0499999999884</v>
      </c>
      <c r="M51" s="191">
        <f t="shared" si="7"/>
        <v>-663.9637334840412</v>
      </c>
      <c r="N51" s="192">
        <f t="shared" si="8"/>
        <v>-8765.0137334840292</v>
      </c>
      <c r="O51" s="191">
        <v>0</v>
      </c>
      <c r="P51" s="191">
        <v>0</v>
      </c>
      <c r="Q51" s="191">
        <v>0</v>
      </c>
      <c r="R51" s="192">
        <f t="shared" si="9"/>
        <v>-8765.0137334840292</v>
      </c>
    </row>
    <row r="52" spans="1:18" x14ac:dyDescent="0.25">
      <c r="A52" s="149">
        <v>9</v>
      </c>
      <c r="B52" s="184">
        <f t="shared" si="13"/>
        <v>45170</v>
      </c>
      <c r="C52" s="205">
        <f t="shared" si="14"/>
        <v>45203</v>
      </c>
      <c r="D52" s="205">
        <f t="shared" si="14"/>
        <v>45223</v>
      </c>
      <c r="E52" s="193" t="s">
        <v>81</v>
      </c>
      <c r="F52" s="149">
        <v>9</v>
      </c>
      <c r="G52" s="186">
        <v>144</v>
      </c>
      <c r="H52" s="187">
        <f t="shared" si="5"/>
        <v>970.91</v>
      </c>
      <c r="I52" s="187">
        <f t="shared" si="1"/>
        <v>919.96</v>
      </c>
      <c r="J52" s="191">
        <f t="shared" si="15"/>
        <v>132474.23999999999</v>
      </c>
      <c r="K52" s="195">
        <f t="shared" si="16"/>
        <v>139811.04</v>
      </c>
      <c r="L52" s="194">
        <f t="shared" si="17"/>
        <v>-7336.8000000000175</v>
      </c>
      <c r="M52" s="191">
        <f t="shared" si="7"/>
        <v>-601.32564541950899</v>
      </c>
      <c r="N52" s="192">
        <f t="shared" si="8"/>
        <v>-7938.1256454195263</v>
      </c>
      <c r="O52" s="191">
        <v>0</v>
      </c>
      <c r="P52" s="191">
        <v>0</v>
      </c>
      <c r="Q52" s="191">
        <v>0</v>
      </c>
      <c r="R52" s="192">
        <f t="shared" si="9"/>
        <v>-7938.1256454195263</v>
      </c>
    </row>
    <row r="53" spans="1:18" x14ac:dyDescent="0.25">
      <c r="A53" s="112">
        <v>10</v>
      </c>
      <c r="B53" s="184">
        <f t="shared" si="13"/>
        <v>45200</v>
      </c>
      <c r="C53" s="205">
        <f t="shared" si="14"/>
        <v>45233</v>
      </c>
      <c r="D53" s="205">
        <f t="shared" si="14"/>
        <v>45254</v>
      </c>
      <c r="E53" s="193" t="s">
        <v>81</v>
      </c>
      <c r="F53" s="149">
        <v>9</v>
      </c>
      <c r="G53" s="186">
        <v>117</v>
      </c>
      <c r="H53" s="187">
        <f t="shared" si="5"/>
        <v>970.91</v>
      </c>
      <c r="I53" s="187">
        <f t="shared" si="1"/>
        <v>919.96</v>
      </c>
      <c r="J53" s="191">
        <f t="shared" si="15"/>
        <v>107635.32</v>
      </c>
      <c r="K53" s="195">
        <f t="shared" si="16"/>
        <v>113596.47</v>
      </c>
      <c r="L53" s="194">
        <f t="shared" si="17"/>
        <v>-5961.1499999999942</v>
      </c>
      <c r="M53" s="191">
        <f t="shared" si="7"/>
        <v>-488.57708690335113</v>
      </c>
      <c r="N53" s="192">
        <f t="shared" si="8"/>
        <v>-6449.7270869033455</v>
      </c>
      <c r="O53" s="191">
        <v>0</v>
      </c>
      <c r="P53" s="191">
        <v>0</v>
      </c>
      <c r="Q53" s="191">
        <v>0</v>
      </c>
      <c r="R53" s="192">
        <f t="shared" si="9"/>
        <v>-6449.7270869033455</v>
      </c>
    </row>
    <row r="54" spans="1:18" x14ac:dyDescent="0.25">
      <c r="A54" s="149">
        <v>11</v>
      </c>
      <c r="B54" s="184">
        <f t="shared" si="13"/>
        <v>45231</v>
      </c>
      <c r="C54" s="205">
        <f t="shared" si="14"/>
        <v>45265</v>
      </c>
      <c r="D54" s="205">
        <f t="shared" si="14"/>
        <v>45285</v>
      </c>
      <c r="E54" s="193" t="s">
        <v>81</v>
      </c>
      <c r="F54" s="149">
        <v>9</v>
      </c>
      <c r="G54" s="186">
        <v>134</v>
      </c>
      <c r="H54" s="187">
        <f t="shared" si="5"/>
        <v>970.91</v>
      </c>
      <c r="I54" s="187">
        <f t="shared" si="1"/>
        <v>919.96</v>
      </c>
      <c r="J54" s="191">
        <f t="shared" si="15"/>
        <v>123274.64</v>
      </c>
      <c r="K54" s="195">
        <f t="shared" si="16"/>
        <v>130101.94</v>
      </c>
      <c r="L54" s="194">
        <f t="shared" si="17"/>
        <v>-6827.3000000000029</v>
      </c>
      <c r="M54" s="191">
        <f t="shared" si="7"/>
        <v>-559.56692004315425</v>
      </c>
      <c r="N54" s="192">
        <f t="shared" si="8"/>
        <v>-7386.8669200431568</v>
      </c>
      <c r="O54" s="191">
        <v>0</v>
      </c>
      <c r="P54" s="191">
        <v>0</v>
      </c>
      <c r="Q54" s="191">
        <v>0</v>
      </c>
      <c r="R54" s="192">
        <f t="shared" si="9"/>
        <v>-7386.8669200431568</v>
      </c>
    </row>
    <row r="55" spans="1:18" x14ac:dyDescent="0.25">
      <c r="A55" s="149">
        <v>12</v>
      </c>
      <c r="B55" s="184">
        <f t="shared" si="13"/>
        <v>45261</v>
      </c>
      <c r="C55" s="205">
        <f t="shared" si="14"/>
        <v>45294</v>
      </c>
      <c r="D55" s="205">
        <f t="shared" si="14"/>
        <v>45315</v>
      </c>
      <c r="E55" s="193" t="s">
        <v>81</v>
      </c>
      <c r="F55" s="149">
        <v>9</v>
      </c>
      <c r="G55" s="186">
        <v>145</v>
      </c>
      <c r="H55" s="197">
        <f t="shared" si="5"/>
        <v>970.91</v>
      </c>
      <c r="I55" s="197">
        <f t="shared" si="1"/>
        <v>919.96</v>
      </c>
      <c r="J55" s="198">
        <f t="shared" si="15"/>
        <v>133394.20000000001</v>
      </c>
      <c r="K55" s="199">
        <f t="shared" si="16"/>
        <v>140781.94999999998</v>
      </c>
      <c r="L55" s="200">
        <f t="shared" si="17"/>
        <v>-7387.7499999999709</v>
      </c>
      <c r="M55" s="191">
        <f t="shared" si="7"/>
        <v>-605.50151795714453</v>
      </c>
      <c r="N55" s="192">
        <f t="shared" si="8"/>
        <v>-7993.2515179571155</v>
      </c>
      <c r="O55" s="191">
        <v>0</v>
      </c>
      <c r="P55" s="191">
        <v>0</v>
      </c>
      <c r="Q55" s="191">
        <v>0</v>
      </c>
      <c r="R55" s="192">
        <f t="shared" si="9"/>
        <v>-7993.2515179571155</v>
      </c>
    </row>
    <row r="56" spans="1:18" s="206" customFormat="1" x14ac:dyDescent="0.25">
      <c r="A56" s="112">
        <v>1</v>
      </c>
      <c r="B56" s="201">
        <f t="shared" si="4"/>
        <v>44927</v>
      </c>
      <c r="C56" s="202">
        <f t="shared" ref="C56:D67" si="18">+C32</f>
        <v>44960</v>
      </c>
      <c r="D56" s="202">
        <f t="shared" si="18"/>
        <v>44981</v>
      </c>
      <c r="E56" s="203" t="s">
        <v>14</v>
      </c>
      <c r="F56" s="204">
        <v>9</v>
      </c>
      <c r="G56" s="186">
        <v>828</v>
      </c>
      <c r="H56" s="187">
        <f t="shared" si="5"/>
        <v>970.91</v>
      </c>
      <c r="I56" s="187">
        <f t="shared" si="1"/>
        <v>919.96</v>
      </c>
      <c r="J56" s="188">
        <f t="shared" si="2"/>
        <v>761726.88</v>
      </c>
      <c r="K56" s="189">
        <f t="shared" si="11"/>
        <v>803913.48</v>
      </c>
      <c r="L56" s="190">
        <f t="shared" si="12"/>
        <v>-42186.599999999977</v>
      </c>
      <c r="M56" s="191">
        <f t="shared" si="7"/>
        <v>-3457.6224611621774</v>
      </c>
      <c r="N56" s="192">
        <f t="shared" si="8"/>
        <v>-45644.222461162157</v>
      </c>
      <c r="O56" s="191">
        <v>0</v>
      </c>
      <c r="P56" s="191">
        <v>0</v>
      </c>
      <c r="Q56" s="191">
        <v>0</v>
      </c>
      <c r="R56" s="192">
        <f t="shared" si="9"/>
        <v>-45644.222461162157</v>
      </c>
    </row>
    <row r="57" spans="1:18" x14ac:dyDescent="0.25">
      <c r="A57" s="149">
        <v>2</v>
      </c>
      <c r="B57" s="184">
        <f t="shared" si="4"/>
        <v>44958</v>
      </c>
      <c r="C57" s="205">
        <f t="shared" si="18"/>
        <v>44988</v>
      </c>
      <c r="D57" s="205">
        <f t="shared" si="18"/>
        <v>45009</v>
      </c>
      <c r="E57" s="193" t="s">
        <v>14</v>
      </c>
      <c r="F57" s="149">
        <v>9</v>
      </c>
      <c r="G57" s="186">
        <v>786</v>
      </c>
      <c r="H57" s="187">
        <f t="shared" si="5"/>
        <v>970.91</v>
      </c>
      <c r="I57" s="187">
        <f t="shared" si="1"/>
        <v>919.96</v>
      </c>
      <c r="J57" s="188">
        <f t="shared" si="2"/>
        <v>723088.56</v>
      </c>
      <c r="K57" s="189">
        <f t="shared" si="11"/>
        <v>763135.26</v>
      </c>
      <c r="L57" s="190">
        <f t="shared" si="12"/>
        <v>-40046.699999999953</v>
      </c>
      <c r="M57" s="191">
        <f t="shared" si="7"/>
        <v>-3282.2358145814869</v>
      </c>
      <c r="N57" s="192">
        <f t="shared" si="8"/>
        <v>-43328.93581458144</v>
      </c>
      <c r="O57" s="191">
        <v>0</v>
      </c>
      <c r="P57" s="191">
        <v>0</v>
      </c>
      <c r="Q57" s="191">
        <v>0</v>
      </c>
      <c r="R57" s="192">
        <f t="shared" si="9"/>
        <v>-43328.93581458144</v>
      </c>
    </row>
    <row r="58" spans="1:18" x14ac:dyDescent="0.25">
      <c r="A58" s="149">
        <v>3</v>
      </c>
      <c r="B58" s="184">
        <f t="shared" si="4"/>
        <v>44986</v>
      </c>
      <c r="C58" s="205">
        <f t="shared" si="18"/>
        <v>45021</v>
      </c>
      <c r="D58" s="205">
        <f t="shared" si="18"/>
        <v>45040</v>
      </c>
      <c r="E58" s="193" t="s">
        <v>14</v>
      </c>
      <c r="F58" s="149">
        <v>9</v>
      </c>
      <c r="G58" s="186">
        <v>702</v>
      </c>
      <c r="H58" s="187">
        <f t="shared" si="5"/>
        <v>970.91</v>
      </c>
      <c r="I58" s="187">
        <f t="shared" si="1"/>
        <v>919.96</v>
      </c>
      <c r="J58" s="188">
        <f t="shared" si="2"/>
        <v>645811.92000000004</v>
      </c>
      <c r="K58" s="189">
        <f t="shared" si="11"/>
        <v>681578.82</v>
      </c>
      <c r="L58" s="190">
        <f>+J58-K58</f>
        <v>-35766.899999999907</v>
      </c>
      <c r="M58" s="191">
        <f t="shared" si="7"/>
        <v>-2931.4625214201069</v>
      </c>
      <c r="N58" s="192">
        <f t="shared" si="8"/>
        <v>-38698.362521420015</v>
      </c>
      <c r="O58" s="191">
        <v>0</v>
      </c>
      <c r="P58" s="191">
        <v>0</v>
      </c>
      <c r="Q58" s="191">
        <v>0</v>
      </c>
      <c r="R58" s="192">
        <f t="shared" si="9"/>
        <v>-38698.362521420015</v>
      </c>
    </row>
    <row r="59" spans="1:18" x14ac:dyDescent="0.25">
      <c r="A59" s="112">
        <v>4</v>
      </c>
      <c r="B59" s="184">
        <f t="shared" si="4"/>
        <v>45017</v>
      </c>
      <c r="C59" s="205">
        <f t="shared" si="18"/>
        <v>45049</v>
      </c>
      <c r="D59" s="205">
        <f t="shared" si="18"/>
        <v>45070</v>
      </c>
      <c r="E59" s="193" t="s">
        <v>14</v>
      </c>
      <c r="F59" s="149">
        <v>9</v>
      </c>
      <c r="G59" s="186">
        <v>519</v>
      </c>
      <c r="H59" s="187">
        <f t="shared" si="5"/>
        <v>970.91</v>
      </c>
      <c r="I59" s="187">
        <f t="shared" si="1"/>
        <v>919.96</v>
      </c>
      <c r="J59" s="188">
        <f t="shared" si="2"/>
        <v>477459.24</v>
      </c>
      <c r="K59" s="189">
        <f t="shared" si="11"/>
        <v>503902.29</v>
      </c>
      <c r="L59" s="190">
        <f t="shared" ref="L59:L81" si="19">+J59-K59</f>
        <v>-26443.049999999988</v>
      </c>
      <c r="M59" s="191">
        <f t="shared" si="7"/>
        <v>-2167.277847032814</v>
      </c>
      <c r="N59" s="192">
        <f t="shared" si="8"/>
        <v>-28610.3278470328</v>
      </c>
      <c r="O59" s="191">
        <v>0</v>
      </c>
      <c r="P59" s="191">
        <v>0</v>
      </c>
      <c r="Q59" s="191">
        <v>0</v>
      </c>
      <c r="R59" s="192">
        <f t="shared" si="9"/>
        <v>-28610.3278470328</v>
      </c>
    </row>
    <row r="60" spans="1:18" x14ac:dyDescent="0.25">
      <c r="A60" s="149">
        <v>5</v>
      </c>
      <c r="B60" s="184">
        <f t="shared" si="4"/>
        <v>45047</v>
      </c>
      <c r="C60" s="205">
        <f t="shared" si="18"/>
        <v>45082</v>
      </c>
      <c r="D60" s="205">
        <f t="shared" si="18"/>
        <v>45103</v>
      </c>
      <c r="E60" s="52" t="s">
        <v>14</v>
      </c>
      <c r="F60" s="149">
        <v>9</v>
      </c>
      <c r="G60" s="186">
        <v>720</v>
      </c>
      <c r="H60" s="187">
        <f t="shared" si="5"/>
        <v>970.91</v>
      </c>
      <c r="I60" s="187">
        <f t="shared" si="1"/>
        <v>919.96</v>
      </c>
      <c r="J60" s="188">
        <f t="shared" si="2"/>
        <v>662371.20000000007</v>
      </c>
      <c r="K60" s="189">
        <f t="shared" si="11"/>
        <v>699055.2</v>
      </c>
      <c r="L60" s="190">
        <f t="shared" si="19"/>
        <v>-36683.999999999884</v>
      </c>
      <c r="M60" s="191">
        <f t="shared" si="7"/>
        <v>-3006.6282270975453</v>
      </c>
      <c r="N60" s="192">
        <f t="shared" si="8"/>
        <v>-39690.628227097426</v>
      </c>
      <c r="O60" s="191">
        <v>0</v>
      </c>
      <c r="P60" s="191">
        <v>0</v>
      </c>
      <c r="Q60" s="191">
        <v>0</v>
      </c>
      <c r="R60" s="192">
        <f t="shared" si="9"/>
        <v>-39690.628227097426</v>
      </c>
    </row>
    <row r="61" spans="1:18" x14ac:dyDescent="0.25">
      <c r="A61" s="149">
        <v>6</v>
      </c>
      <c r="B61" s="184">
        <f t="shared" si="4"/>
        <v>45078</v>
      </c>
      <c r="C61" s="205">
        <f t="shared" si="18"/>
        <v>45112</v>
      </c>
      <c r="D61" s="205">
        <f t="shared" si="18"/>
        <v>45131</v>
      </c>
      <c r="E61" s="52" t="s">
        <v>14</v>
      </c>
      <c r="F61" s="149">
        <v>9</v>
      </c>
      <c r="G61" s="186">
        <v>975</v>
      </c>
      <c r="H61" s="187">
        <f t="shared" si="5"/>
        <v>970.91</v>
      </c>
      <c r="I61" s="187">
        <f t="shared" si="1"/>
        <v>919.96</v>
      </c>
      <c r="J61" s="188">
        <f t="shared" si="2"/>
        <v>896961</v>
      </c>
      <c r="K61" s="189">
        <f t="shared" si="11"/>
        <v>946637.25</v>
      </c>
      <c r="L61" s="194">
        <f t="shared" si="19"/>
        <v>-49676.25</v>
      </c>
      <c r="M61" s="191">
        <f t="shared" si="7"/>
        <v>-4071.4757241945931</v>
      </c>
      <c r="N61" s="192">
        <f t="shared" si="8"/>
        <v>-53747.725724194592</v>
      </c>
      <c r="O61" s="191">
        <v>0</v>
      </c>
      <c r="P61" s="191">
        <v>0</v>
      </c>
      <c r="Q61" s="191">
        <v>0</v>
      </c>
      <c r="R61" s="192">
        <f t="shared" si="9"/>
        <v>-53747.725724194592</v>
      </c>
    </row>
    <row r="62" spans="1:18" x14ac:dyDescent="0.25">
      <c r="A62" s="112">
        <v>7</v>
      </c>
      <c r="B62" s="184">
        <f t="shared" si="4"/>
        <v>45108</v>
      </c>
      <c r="C62" s="205">
        <f t="shared" si="18"/>
        <v>45141</v>
      </c>
      <c r="D62" s="205">
        <f t="shared" si="18"/>
        <v>45162</v>
      </c>
      <c r="E62" s="52" t="s">
        <v>14</v>
      </c>
      <c r="F62" s="149">
        <v>9</v>
      </c>
      <c r="G62" s="186">
        <v>924</v>
      </c>
      <c r="H62" s="187">
        <f t="shared" si="5"/>
        <v>970.91</v>
      </c>
      <c r="I62" s="187">
        <f t="shared" si="1"/>
        <v>919.96</v>
      </c>
      <c r="J62" s="188">
        <f t="shared" si="2"/>
        <v>850043.04</v>
      </c>
      <c r="K62" s="195">
        <f t="shared" si="11"/>
        <v>897120.84</v>
      </c>
      <c r="L62" s="194">
        <f t="shared" si="19"/>
        <v>-47077.79999999993</v>
      </c>
      <c r="M62" s="191">
        <f t="shared" si="7"/>
        <v>-3858.506224775183</v>
      </c>
      <c r="N62" s="192">
        <f t="shared" si="8"/>
        <v>-50936.306224775115</v>
      </c>
      <c r="O62" s="191">
        <v>0</v>
      </c>
      <c r="P62" s="191">
        <v>0</v>
      </c>
      <c r="Q62" s="191">
        <v>0</v>
      </c>
      <c r="R62" s="192">
        <f t="shared" si="9"/>
        <v>-50936.306224775115</v>
      </c>
    </row>
    <row r="63" spans="1:18" x14ac:dyDescent="0.25">
      <c r="A63" s="149">
        <v>8</v>
      </c>
      <c r="B63" s="184">
        <f t="shared" si="4"/>
        <v>45139</v>
      </c>
      <c r="C63" s="205">
        <f t="shared" si="18"/>
        <v>45174</v>
      </c>
      <c r="D63" s="205">
        <f t="shared" si="18"/>
        <v>45194</v>
      </c>
      <c r="E63" s="52" t="s">
        <v>14</v>
      </c>
      <c r="F63" s="149">
        <v>9</v>
      </c>
      <c r="G63" s="186">
        <v>1053</v>
      </c>
      <c r="H63" s="187">
        <f t="shared" si="5"/>
        <v>970.91</v>
      </c>
      <c r="I63" s="187">
        <f t="shared" si="1"/>
        <v>919.96</v>
      </c>
      <c r="J63" s="188">
        <f t="shared" si="2"/>
        <v>968717.88</v>
      </c>
      <c r="K63" s="195">
        <f t="shared" si="11"/>
        <v>1022368.23</v>
      </c>
      <c r="L63" s="194">
        <f t="shared" si="19"/>
        <v>-53650.349999999977</v>
      </c>
      <c r="M63" s="191">
        <f t="shared" si="7"/>
        <v>-4397.1937821301599</v>
      </c>
      <c r="N63" s="192">
        <f t="shared" si="8"/>
        <v>-58047.543782130138</v>
      </c>
      <c r="O63" s="191">
        <v>0</v>
      </c>
      <c r="P63" s="191">
        <v>0</v>
      </c>
      <c r="Q63" s="191">
        <v>0</v>
      </c>
      <c r="R63" s="192">
        <f t="shared" si="9"/>
        <v>-58047.543782130138</v>
      </c>
    </row>
    <row r="64" spans="1:18" x14ac:dyDescent="0.25">
      <c r="A64" s="149">
        <v>9</v>
      </c>
      <c r="B64" s="184">
        <f t="shared" si="4"/>
        <v>45170</v>
      </c>
      <c r="C64" s="205">
        <f t="shared" si="18"/>
        <v>45203</v>
      </c>
      <c r="D64" s="205">
        <f t="shared" si="18"/>
        <v>45223</v>
      </c>
      <c r="E64" s="52" t="s">
        <v>14</v>
      </c>
      <c r="F64" s="149">
        <v>9</v>
      </c>
      <c r="G64" s="186">
        <v>905</v>
      </c>
      <c r="H64" s="187">
        <f t="shared" si="5"/>
        <v>970.91</v>
      </c>
      <c r="I64" s="187">
        <f t="shared" ref="I64:I107" si="20">$J$3</f>
        <v>919.96</v>
      </c>
      <c r="J64" s="188">
        <f t="shared" si="2"/>
        <v>832563.8</v>
      </c>
      <c r="K64" s="195">
        <f t="shared" si="11"/>
        <v>878673.54999999993</v>
      </c>
      <c r="L64" s="194">
        <f t="shared" si="19"/>
        <v>-46109.749999999884</v>
      </c>
      <c r="M64" s="191">
        <f t="shared" si="7"/>
        <v>-3779.1646465601088</v>
      </c>
      <c r="N64" s="192">
        <f t="shared" si="8"/>
        <v>-49888.914646559992</v>
      </c>
      <c r="O64" s="191">
        <v>0</v>
      </c>
      <c r="P64" s="191">
        <v>0</v>
      </c>
      <c r="Q64" s="191">
        <v>0</v>
      </c>
      <c r="R64" s="192">
        <f t="shared" si="9"/>
        <v>-49888.914646559992</v>
      </c>
    </row>
    <row r="65" spans="1:18" x14ac:dyDescent="0.25">
      <c r="A65" s="112">
        <v>10</v>
      </c>
      <c r="B65" s="184">
        <f t="shared" si="4"/>
        <v>45200</v>
      </c>
      <c r="C65" s="205">
        <f t="shared" si="18"/>
        <v>45233</v>
      </c>
      <c r="D65" s="205">
        <f t="shared" si="18"/>
        <v>45254</v>
      </c>
      <c r="E65" s="52" t="s">
        <v>14</v>
      </c>
      <c r="F65" s="149">
        <v>9</v>
      </c>
      <c r="G65" s="186">
        <v>694</v>
      </c>
      <c r="H65" s="187">
        <f t="shared" si="5"/>
        <v>970.91</v>
      </c>
      <c r="I65" s="187">
        <f t="shared" si="20"/>
        <v>919.96</v>
      </c>
      <c r="J65" s="188">
        <f t="shared" si="2"/>
        <v>638452.24</v>
      </c>
      <c r="K65" s="195">
        <f t="shared" si="11"/>
        <v>673811.53999999992</v>
      </c>
      <c r="L65" s="194">
        <f t="shared" si="19"/>
        <v>-35359.29999999993</v>
      </c>
      <c r="M65" s="191">
        <f t="shared" si="7"/>
        <v>-2898.055541119023</v>
      </c>
      <c r="N65" s="192">
        <f t="shared" si="8"/>
        <v>-38257.355541118952</v>
      </c>
      <c r="O65" s="191">
        <v>0</v>
      </c>
      <c r="P65" s="191">
        <v>0</v>
      </c>
      <c r="Q65" s="191">
        <v>0</v>
      </c>
      <c r="R65" s="192">
        <f t="shared" si="9"/>
        <v>-38257.355541118952</v>
      </c>
    </row>
    <row r="66" spans="1:18" x14ac:dyDescent="0.25">
      <c r="A66" s="149">
        <v>11</v>
      </c>
      <c r="B66" s="184">
        <f t="shared" si="4"/>
        <v>45231</v>
      </c>
      <c r="C66" s="205">
        <f t="shared" si="18"/>
        <v>45265</v>
      </c>
      <c r="D66" s="205">
        <f t="shared" si="18"/>
        <v>45285</v>
      </c>
      <c r="E66" s="52" t="s">
        <v>14</v>
      </c>
      <c r="F66" s="149">
        <v>9</v>
      </c>
      <c r="G66" s="186">
        <v>736</v>
      </c>
      <c r="H66" s="187">
        <f t="shared" si="5"/>
        <v>970.91</v>
      </c>
      <c r="I66" s="187">
        <f t="shared" si="20"/>
        <v>919.96</v>
      </c>
      <c r="J66" s="188">
        <f t="shared" si="2"/>
        <v>677090.56</v>
      </c>
      <c r="K66" s="195">
        <f t="shared" si="11"/>
        <v>714589.76</v>
      </c>
      <c r="L66" s="194">
        <f t="shared" si="19"/>
        <v>-37499.199999999953</v>
      </c>
      <c r="M66" s="191">
        <f t="shared" si="7"/>
        <v>-3073.442187699713</v>
      </c>
      <c r="N66" s="192">
        <f t="shared" si="8"/>
        <v>-40572.642187699668</v>
      </c>
      <c r="O66" s="191">
        <v>0</v>
      </c>
      <c r="P66" s="191">
        <v>0</v>
      </c>
      <c r="Q66" s="191">
        <v>0</v>
      </c>
      <c r="R66" s="192">
        <f t="shared" si="9"/>
        <v>-40572.642187699668</v>
      </c>
    </row>
    <row r="67" spans="1:18" s="209" customFormat="1" x14ac:dyDescent="0.25">
      <c r="A67" s="149">
        <v>12</v>
      </c>
      <c r="B67" s="207">
        <f t="shared" si="4"/>
        <v>45261</v>
      </c>
      <c r="C67" s="205">
        <f t="shared" si="18"/>
        <v>45294</v>
      </c>
      <c r="D67" s="205">
        <f t="shared" si="18"/>
        <v>45315</v>
      </c>
      <c r="E67" s="208" t="s">
        <v>14</v>
      </c>
      <c r="F67" s="160">
        <v>9</v>
      </c>
      <c r="G67" s="186">
        <v>713</v>
      </c>
      <c r="H67" s="197">
        <f t="shared" si="5"/>
        <v>970.91</v>
      </c>
      <c r="I67" s="197">
        <f t="shared" si="20"/>
        <v>919.96</v>
      </c>
      <c r="J67" s="198">
        <f t="shared" si="2"/>
        <v>655931.48</v>
      </c>
      <c r="K67" s="199">
        <f t="shared" si="11"/>
        <v>692258.83</v>
      </c>
      <c r="L67" s="200">
        <f t="shared" si="19"/>
        <v>-36327.349999999977</v>
      </c>
      <c r="M67" s="191">
        <f t="shared" si="7"/>
        <v>-2977.3971193340967</v>
      </c>
      <c r="N67" s="192">
        <f t="shared" si="8"/>
        <v>-39304.747119334075</v>
      </c>
      <c r="O67" s="191">
        <v>0</v>
      </c>
      <c r="P67" s="191">
        <v>0</v>
      </c>
      <c r="Q67" s="191">
        <v>0</v>
      </c>
      <c r="R67" s="192">
        <f t="shared" si="9"/>
        <v>-39304.747119334075</v>
      </c>
    </row>
    <row r="68" spans="1:18" x14ac:dyDescent="0.25">
      <c r="A68" s="112">
        <v>1</v>
      </c>
      <c r="B68" s="184">
        <f t="shared" si="4"/>
        <v>44927</v>
      </c>
      <c r="C68" s="202">
        <f t="shared" ref="C68:D79" si="21">+C56</f>
        <v>44960</v>
      </c>
      <c r="D68" s="202">
        <f t="shared" si="21"/>
        <v>44981</v>
      </c>
      <c r="E68" s="185" t="s">
        <v>83</v>
      </c>
      <c r="F68" s="112">
        <v>9</v>
      </c>
      <c r="G68" s="186">
        <v>44</v>
      </c>
      <c r="H68" s="187">
        <f t="shared" si="5"/>
        <v>970.91</v>
      </c>
      <c r="I68" s="187">
        <f t="shared" si="20"/>
        <v>919.96</v>
      </c>
      <c r="J68" s="188">
        <f t="shared" si="2"/>
        <v>40478.240000000005</v>
      </c>
      <c r="K68" s="189">
        <f t="shared" si="11"/>
        <v>42720.04</v>
      </c>
      <c r="L68" s="190">
        <f t="shared" si="19"/>
        <v>-2241.7999999999956</v>
      </c>
      <c r="M68" s="191">
        <f t="shared" si="7"/>
        <v>-183.73839165596112</v>
      </c>
      <c r="N68" s="192">
        <f t="shared" si="8"/>
        <v>-2425.5383916559567</v>
      </c>
      <c r="O68" s="191">
        <v>0</v>
      </c>
      <c r="P68" s="191">
        <v>0</v>
      </c>
      <c r="Q68" s="191">
        <v>0</v>
      </c>
      <c r="R68" s="192">
        <f t="shared" si="9"/>
        <v>-2425.5383916559567</v>
      </c>
    </row>
    <row r="69" spans="1:18" x14ac:dyDescent="0.25">
      <c r="A69" s="149">
        <v>2</v>
      </c>
      <c r="B69" s="184">
        <f t="shared" si="4"/>
        <v>44958</v>
      </c>
      <c r="C69" s="205">
        <f t="shared" si="21"/>
        <v>44988</v>
      </c>
      <c r="D69" s="205">
        <f t="shared" si="21"/>
        <v>45009</v>
      </c>
      <c r="E69" s="193" t="s">
        <v>83</v>
      </c>
      <c r="F69" s="149">
        <v>9</v>
      </c>
      <c r="G69" s="186">
        <v>42</v>
      </c>
      <c r="H69" s="187">
        <f t="shared" si="5"/>
        <v>970.91</v>
      </c>
      <c r="I69" s="187">
        <f t="shared" si="20"/>
        <v>919.96</v>
      </c>
      <c r="J69" s="188">
        <f t="shared" si="2"/>
        <v>38638.32</v>
      </c>
      <c r="K69" s="189">
        <f t="shared" si="11"/>
        <v>40778.22</v>
      </c>
      <c r="L69" s="190">
        <f t="shared" si="19"/>
        <v>-2139.9000000000015</v>
      </c>
      <c r="M69" s="191">
        <f t="shared" si="7"/>
        <v>-175.38664658069013</v>
      </c>
      <c r="N69" s="192">
        <f t="shared" si="8"/>
        <v>-2315.2866465806915</v>
      </c>
      <c r="O69" s="191">
        <v>0</v>
      </c>
      <c r="P69" s="191">
        <v>0</v>
      </c>
      <c r="Q69" s="191">
        <v>0</v>
      </c>
      <c r="R69" s="192">
        <f t="shared" si="9"/>
        <v>-2315.2866465806915</v>
      </c>
    </row>
    <row r="70" spans="1:18" x14ac:dyDescent="0.25">
      <c r="A70" s="149">
        <v>3</v>
      </c>
      <c r="B70" s="184">
        <f t="shared" si="4"/>
        <v>44986</v>
      </c>
      <c r="C70" s="205">
        <f t="shared" si="21"/>
        <v>45021</v>
      </c>
      <c r="D70" s="205">
        <f t="shared" si="21"/>
        <v>45040</v>
      </c>
      <c r="E70" s="193" t="s">
        <v>83</v>
      </c>
      <c r="F70" s="149">
        <v>9</v>
      </c>
      <c r="G70" s="186">
        <v>37</v>
      </c>
      <c r="H70" s="187">
        <f t="shared" si="5"/>
        <v>970.91</v>
      </c>
      <c r="I70" s="187">
        <f t="shared" si="20"/>
        <v>919.96</v>
      </c>
      <c r="J70" s="188">
        <f t="shared" si="2"/>
        <v>34038.520000000004</v>
      </c>
      <c r="K70" s="189">
        <f t="shared" si="11"/>
        <v>35923.67</v>
      </c>
      <c r="L70" s="190">
        <f>+J70-K70</f>
        <v>-1885.1499999999942</v>
      </c>
      <c r="M70" s="191">
        <f t="shared" si="7"/>
        <v>-154.50728389251273</v>
      </c>
      <c r="N70" s="192">
        <f t="shared" si="8"/>
        <v>-2039.6572838925069</v>
      </c>
      <c r="O70" s="191">
        <v>0</v>
      </c>
      <c r="P70" s="191">
        <v>0</v>
      </c>
      <c r="Q70" s="191">
        <v>0</v>
      </c>
      <c r="R70" s="192">
        <f t="shared" si="9"/>
        <v>-2039.6572838925069</v>
      </c>
    </row>
    <row r="71" spans="1:18" x14ac:dyDescent="0.25">
      <c r="A71" s="112">
        <v>4</v>
      </c>
      <c r="B71" s="184">
        <f t="shared" si="4"/>
        <v>45017</v>
      </c>
      <c r="C71" s="205">
        <f t="shared" si="21"/>
        <v>45049</v>
      </c>
      <c r="D71" s="205">
        <f t="shared" si="21"/>
        <v>45070</v>
      </c>
      <c r="E71" s="193" t="s">
        <v>83</v>
      </c>
      <c r="F71" s="149">
        <v>9</v>
      </c>
      <c r="G71" s="186">
        <v>27</v>
      </c>
      <c r="H71" s="187">
        <f t="shared" si="5"/>
        <v>970.91</v>
      </c>
      <c r="I71" s="187">
        <f t="shared" si="20"/>
        <v>919.96</v>
      </c>
      <c r="J71" s="188">
        <f t="shared" si="2"/>
        <v>24838.920000000002</v>
      </c>
      <c r="K71" s="189">
        <f t="shared" si="11"/>
        <v>26214.57</v>
      </c>
      <c r="L71" s="190">
        <f t="shared" ref="L71:L79" si="22">+J71-K71</f>
        <v>-1375.6499999999978</v>
      </c>
      <c r="M71" s="191">
        <f t="shared" si="7"/>
        <v>-112.74855851615796</v>
      </c>
      <c r="N71" s="192">
        <f t="shared" si="8"/>
        <v>-1488.3985585161558</v>
      </c>
      <c r="O71" s="191">
        <v>0</v>
      </c>
      <c r="P71" s="191">
        <v>0</v>
      </c>
      <c r="Q71" s="191">
        <v>0</v>
      </c>
      <c r="R71" s="192">
        <f t="shared" si="9"/>
        <v>-1488.3985585161558</v>
      </c>
    </row>
    <row r="72" spans="1:18" x14ac:dyDescent="0.25">
      <c r="A72" s="149">
        <v>5</v>
      </c>
      <c r="B72" s="184">
        <f t="shared" si="4"/>
        <v>45047</v>
      </c>
      <c r="C72" s="205">
        <f t="shared" si="21"/>
        <v>45082</v>
      </c>
      <c r="D72" s="205">
        <f t="shared" si="21"/>
        <v>45103</v>
      </c>
      <c r="E72" s="193" t="s">
        <v>83</v>
      </c>
      <c r="F72" s="149">
        <v>9</v>
      </c>
      <c r="G72" s="186">
        <v>42</v>
      </c>
      <c r="H72" s="187">
        <f t="shared" si="5"/>
        <v>970.91</v>
      </c>
      <c r="I72" s="187">
        <f t="shared" si="20"/>
        <v>919.96</v>
      </c>
      <c r="J72" s="188">
        <f t="shared" si="2"/>
        <v>38638.32</v>
      </c>
      <c r="K72" s="189">
        <f t="shared" si="11"/>
        <v>40778.22</v>
      </c>
      <c r="L72" s="190">
        <f t="shared" si="22"/>
        <v>-2139.9000000000015</v>
      </c>
      <c r="M72" s="191">
        <f t="shared" si="7"/>
        <v>-175.38664658069013</v>
      </c>
      <c r="N72" s="192">
        <f t="shared" si="8"/>
        <v>-2315.2866465806915</v>
      </c>
      <c r="O72" s="191">
        <v>0</v>
      </c>
      <c r="P72" s="191">
        <v>0</v>
      </c>
      <c r="Q72" s="191">
        <v>0</v>
      </c>
      <c r="R72" s="192">
        <f t="shared" si="9"/>
        <v>-2315.2866465806915</v>
      </c>
    </row>
    <row r="73" spans="1:18" x14ac:dyDescent="0.25">
      <c r="A73" s="149">
        <v>6</v>
      </c>
      <c r="B73" s="184">
        <f t="shared" si="4"/>
        <v>45078</v>
      </c>
      <c r="C73" s="205">
        <f t="shared" si="21"/>
        <v>45112</v>
      </c>
      <c r="D73" s="205">
        <f t="shared" si="21"/>
        <v>45131</v>
      </c>
      <c r="E73" s="193" t="s">
        <v>83</v>
      </c>
      <c r="F73" s="149">
        <v>9</v>
      </c>
      <c r="G73" s="186">
        <v>56</v>
      </c>
      <c r="H73" s="187">
        <f t="shared" si="5"/>
        <v>970.91</v>
      </c>
      <c r="I73" s="187">
        <f t="shared" si="20"/>
        <v>919.96</v>
      </c>
      <c r="J73" s="188">
        <f t="shared" si="2"/>
        <v>51517.760000000002</v>
      </c>
      <c r="K73" s="189">
        <f t="shared" si="11"/>
        <v>54370.96</v>
      </c>
      <c r="L73" s="194">
        <f t="shared" si="22"/>
        <v>-2853.1999999999971</v>
      </c>
      <c r="M73" s="191">
        <f t="shared" si="7"/>
        <v>-233.84886210758685</v>
      </c>
      <c r="N73" s="192">
        <f t="shared" si="8"/>
        <v>-3087.0488621075838</v>
      </c>
      <c r="O73" s="191">
        <v>0</v>
      </c>
      <c r="P73" s="191">
        <v>0</v>
      </c>
      <c r="Q73" s="191">
        <v>0</v>
      </c>
      <c r="R73" s="192">
        <f t="shared" si="9"/>
        <v>-3087.0488621075838</v>
      </c>
    </row>
    <row r="74" spans="1:18" x14ac:dyDescent="0.25">
      <c r="A74" s="112">
        <v>7</v>
      </c>
      <c r="B74" s="184">
        <f t="shared" si="4"/>
        <v>45108</v>
      </c>
      <c r="C74" s="205">
        <f t="shared" si="21"/>
        <v>45141</v>
      </c>
      <c r="D74" s="205">
        <f t="shared" si="21"/>
        <v>45162</v>
      </c>
      <c r="E74" s="193" t="s">
        <v>83</v>
      </c>
      <c r="F74" s="149">
        <v>9</v>
      </c>
      <c r="G74" s="186">
        <v>54</v>
      </c>
      <c r="H74" s="187">
        <f t="shared" si="5"/>
        <v>970.91</v>
      </c>
      <c r="I74" s="187">
        <f t="shared" si="20"/>
        <v>919.96</v>
      </c>
      <c r="J74" s="188">
        <f t="shared" si="2"/>
        <v>49677.840000000004</v>
      </c>
      <c r="K74" s="195">
        <f t="shared" si="11"/>
        <v>52429.14</v>
      </c>
      <c r="L74" s="194">
        <f t="shared" si="22"/>
        <v>-2751.2999999999956</v>
      </c>
      <c r="M74" s="191">
        <f t="shared" si="7"/>
        <v>-225.49711703231591</v>
      </c>
      <c r="N74" s="192">
        <f t="shared" si="8"/>
        <v>-2976.7971170323117</v>
      </c>
      <c r="O74" s="191">
        <v>0</v>
      </c>
      <c r="P74" s="191">
        <v>0</v>
      </c>
      <c r="Q74" s="191">
        <v>0</v>
      </c>
      <c r="R74" s="192">
        <f t="shared" si="9"/>
        <v>-2976.7971170323117</v>
      </c>
    </row>
    <row r="75" spans="1:18" x14ac:dyDescent="0.25">
      <c r="A75" s="149">
        <v>8</v>
      </c>
      <c r="B75" s="184">
        <f t="shared" si="4"/>
        <v>45139</v>
      </c>
      <c r="C75" s="205">
        <f t="shared" si="21"/>
        <v>45174</v>
      </c>
      <c r="D75" s="205">
        <f t="shared" si="21"/>
        <v>45194</v>
      </c>
      <c r="E75" s="193" t="s">
        <v>83</v>
      </c>
      <c r="F75" s="149">
        <v>9</v>
      </c>
      <c r="G75" s="186">
        <v>59</v>
      </c>
      <c r="H75" s="187">
        <f t="shared" si="5"/>
        <v>970.91</v>
      </c>
      <c r="I75" s="187">
        <f t="shared" si="20"/>
        <v>919.96</v>
      </c>
      <c r="J75" s="188">
        <f t="shared" si="2"/>
        <v>54277.64</v>
      </c>
      <c r="K75" s="195">
        <f t="shared" si="11"/>
        <v>57283.689999999995</v>
      </c>
      <c r="L75" s="194">
        <f t="shared" si="22"/>
        <v>-3006.0499999999956</v>
      </c>
      <c r="M75" s="191">
        <f t="shared" si="7"/>
        <v>-246.37647972049328</v>
      </c>
      <c r="N75" s="192">
        <f t="shared" si="8"/>
        <v>-3252.4264797204887</v>
      </c>
      <c r="O75" s="191">
        <v>0</v>
      </c>
      <c r="P75" s="191">
        <v>0</v>
      </c>
      <c r="Q75" s="191">
        <v>0</v>
      </c>
      <c r="R75" s="192">
        <f t="shared" si="9"/>
        <v>-3252.4264797204887</v>
      </c>
    </row>
    <row r="76" spans="1:18" x14ac:dyDescent="0.25">
      <c r="A76" s="149">
        <v>9</v>
      </c>
      <c r="B76" s="184">
        <f t="shared" si="4"/>
        <v>45170</v>
      </c>
      <c r="C76" s="205">
        <f t="shared" si="21"/>
        <v>45203</v>
      </c>
      <c r="D76" s="205">
        <f t="shared" si="21"/>
        <v>45223</v>
      </c>
      <c r="E76" s="193" t="s">
        <v>83</v>
      </c>
      <c r="F76" s="149">
        <v>9</v>
      </c>
      <c r="G76" s="186">
        <v>54</v>
      </c>
      <c r="H76" s="187">
        <f t="shared" si="5"/>
        <v>970.91</v>
      </c>
      <c r="I76" s="187">
        <f t="shared" si="20"/>
        <v>919.96</v>
      </c>
      <c r="J76" s="188">
        <f t="shared" si="2"/>
        <v>49677.840000000004</v>
      </c>
      <c r="K76" s="195">
        <f t="shared" si="11"/>
        <v>52429.14</v>
      </c>
      <c r="L76" s="194">
        <f t="shared" si="22"/>
        <v>-2751.2999999999956</v>
      </c>
      <c r="M76" s="191">
        <f t="shared" si="7"/>
        <v>-225.49711703231591</v>
      </c>
      <c r="N76" s="192">
        <f t="shared" si="8"/>
        <v>-2976.7971170323117</v>
      </c>
      <c r="O76" s="191">
        <v>0</v>
      </c>
      <c r="P76" s="191">
        <v>0</v>
      </c>
      <c r="Q76" s="191">
        <v>0</v>
      </c>
      <c r="R76" s="192">
        <f t="shared" si="9"/>
        <v>-2976.7971170323117</v>
      </c>
    </row>
    <row r="77" spans="1:18" x14ac:dyDescent="0.25">
      <c r="A77" s="112">
        <v>10</v>
      </c>
      <c r="B77" s="184">
        <f t="shared" si="4"/>
        <v>45200</v>
      </c>
      <c r="C77" s="205">
        <f t="shared" si="21"/>
        <v>45233</v>
      </c>
      <c r="D77" s="205">
        <f t="shared" si="21"/>
        <v>45254</v>
      </c>
      <c r="E77" s="193" t="s">
        <v>83</v>
      </c>
      <c r="F77" s="149">
        <v>9</v>
      </c>
      <c r="G77" s="186">
        <v>37</v>
      </c>
      <c r="H77" s="187">
        <f t="shared" si="5"/>
        <v>970.91</v>
      </c>
      <c r="I77" s="187">
        <f t="shared" si="20"/>
        <v>919.96</v>
      </c>
      <c r="J77" s="188">
        <f t="shared" si="2"/>
        <v>34038.520000000004</v>
      </c>
      <c r="K77" s="195">
        <f t="shared" si="11"/>
        <v>35923.67</v>
      </c>
      <c r="L77" s="194">
        <f t="shared" si="22"/>
        <v>-1885.1499999999942</v>
      </c>
      <c r="M77" s="191">
        <f t="shared" si="7"/>
        <v>-154.50728389251273</v>
      </c>
      <c r="N77" s="192">
        <f t="shared" si="8"/>
        <v>-2039.6572838925069</v>
      </c>
      <c r="O77" s="191">
        <v>0</v>
      </c>
      <c r="P77" s="191">
        <v>0</v>
      </c>
      <c r="Q77" s="191">
        <v>0</v>
      </c>
      <c r="R77" s="192">
        <f t="shared" si="9"/>
        <v>-2039.6572838925069</v>
      </c>
    </row>
    <row r="78" spans="1:18" x14ac:dyDescent="0.25">
      <c r="A78" s="149">
        <v>11</v>
      </c>
      <c r="B78" s="184">
        <f t="shared" si="4"/>
        <v>45231</v>
      </c>
      <c r="C78" s="205">
        <f t="shared" si="21"/>
        <v>45265</v>
      </c>
      <c r="D78" s="205">
        <f t="shared" si="21"/>
        <v>45285</v>
      </c>
      <c r="E78" s="193" t="s">
        <v>83</v>
      </c>
      <c r="F78" s="149">
        <v>9</v>
      </c>
      <c r="G78" s="186">
        <v>38</v>
      </c>
      <c r="H78" s="187">
        <f t="shared" si="5"/>
        <v>970.91</v>
      </c>
      <c r="I78" s="187">
        <f t="shared" si="20"/>
        <v>919.96</v>
      </c>
      <c r="J78" s="188">
        <f t="shared" si="2"/>
        <v>34958.480000000003</v>
      </c>
      <c r="K78" s="195">
        <f>+$G78*H78</f>
        <v>36894.58</v>
      </c>
      <c r="L78" s="194">
        <f t="shared" si="22"/>
        <v>-1936.0999999999985</v>
      </c>
      <c r="M78" s="191">
        <f t="shared" si="7"/>
        <v>-158.68315643014824</v>
      </c>
      <c r="N78" s="192">
        <f t="shared" si="8"/>
        <v>-2094.7831564301468</v>
      </c>
      <c r="O78" s="191">
        <v>0</v>
      </c>
      <c r="P78" s="191">
        <v>0</v>
      </c>
      <c r="Q78" s="191">
        <v>0</v>
      </c>
      <c r="R78" s="192">
        <f t="shared" si="9"/>
        <v>-2094.7831564301468</v>
      </c>
    </row>
    <row r="79" spans="1:18" s="209" customFormat="1" x14ac:dyDescent="0.25">
      <c r="A79" s="149">
        <v>12</v>
      </c>
      <c r="B79" s="207">
        <f t="shared" si="4"/>
        <v>45261</v>
      </c>
      <c r="C79" s="210">
        <f t="shared" si="21"/>
        <v>45294</v>
      </c>
      <c r="D79" s="210">
        <f t="shared" si="21"/>
        <v>45315</v>
      </c>
      <c r="E79" s="211" t="s">
        <v>83</v>
      </c>
      <c r="F79" s="160">
        <v>9</v>
      </c>
      <c r="G79" s="186">
        <v>35</v>
      </c>
      <c r="H79" s="197">
        <f t="shared" si="5"/>
        <v>970.91</v>
      </c>
      <c r="I79" s="197">
        <f t="shared" si="20"/>
        <v>919.96</v>
      </c>
      <c r="J79" s="198">
        <f t="shared" si="2"/>
        <v>32198.600000000002</v>
      </c>
      <c r="K79" s="199">
        <f>+$G79*H79</f>
        <v>33981.85</v>
      </c>
      <c r="L79" s="200">
        <f t="shared" si="22"/>
        <v>-1783.2499999999964</v>
      </c>
      <c r="M79" s="191">
        <f t="shared" si="7"/>
        <v>-146.15553881724179</v>
      </c>
      <c r="N79" s="192">
        <f t="shared" si="8"/>
        <v>-1929.4055388172383</v>
      </c>
      <c r="O79" s="191">
        <v>0</v>
      </c>
      <c r="P79" s="191">
        <v>0</v>
      </c>
      <c r="Q79" s="191">
        <v>0</v>
      </c>
      <c r="R79" s="192">
        <f t="shared" si="9"/>
        <v>-1929.4055388172383</v>
      </c>
    </row>
    <row r="80" spans="1:18" s="50" customFormat="1" ht="12.75" customHeight="1" x14ac:dyDescent="0.25">
      <c r="A80" s="112">
        <v>1</v>
      </c>
      <c r="B80" s="184">
        <f t="shared" si="4"/>
        <v>44927</v>
      </c>
      <c r="C80" s="202">
        <f t="shared" ref="C80:D91" si="23">+C56</f>
        <v>44960</v>
      </c>
      <c r="D80" s="202">
        <f t="shared" si="23"/>
        <v>44981</v>
      </c>
      <c r="E80" s="185" t="s">
        <v>9</v>
      </c>
      <c r="F80" s="112">
        <v>9</v>
      </c>
      <c r="G80" s="186">
        <v>53</v>
      </c>
      <c r="H80" s="187">
        <f t="shared" si="5"/>
        <v>970.91</v>
      </c>
      <c r="I80" s="187">
        <f t="shared" si="20"/>
        <v>919.96</v>
      </c>
      <c r="J80" s="188">
        <f t="shared" si="2"/>
        <v>48757.880000000005</v>
      </c>
      <c r="K80" s="189">
        <f t="shared" si="11"/>
        <v>51458.229999999996</v>
      </c>
      <c r="L80" s="190">
        <f t="shared" si="19"/>
        <v>-2700.3499999999913</v>
      </c>
      <c r="M80" s="191">
        <f t="shared" si="7"/>
        <v>-221.32124449468043</v>
      </c>
      <c r="N80" s="192">
        <f t="shared" si="8"/>
        <v>-2921.6712444946716</v>
      </c>
      <c r="O80" s="191">
        <v>0</v>
      </c>
      <c r="P80" s="191">
        <v>0</v>
      </c>
      <c r="Q80" s="191">
        <v>0</v>
      </c>
      <c r="R80" s="192">
        <f t="shared" si="9"/>
        <v>-2921.6712444946716</v>
      </c>
    </row>
    <row r="81" spans="1:18" x14ac:dyDescent="0.25">
      <c r="A81" s="149">
        <v>2</v>
      </c>
      <c r="B81" s="184">
        <f t="shared" si="4"/>
        <v>44958</v>
      </c>
      <c r="C81" s="205">
        <f t="shared" si="23"/>
        <v>44988</v>
      </c>
      <c r="D81" s="205">
        <f t="shared" si="23"/>
        <v>45009</v>
      </c>
      <c r="E81" s="193" t="s">
        <v>9</v>
      </c>
      <c r="F81" s="149">
        <v>9</v>
      </c>
      <c r="G81" s="186">
        <v>55</v>
      </c>
      <c r="H81" s="187">
        <f t="shared" si="5"/>
        <v>970.91</v>
      </c>
      <c r="I81" s="187">
        <f t="shared" si="20"/>
        <v>919.96</v>
      </c>
      <c r="J81" s="188">
        <f t="shared" si="2"/>
        <v>50597.8</v>
      </c>
      <c r="K81" s="189">
        <f t="shared" si="11"/>
        <v>53400.049999999996</v>
      </c>
      <c r="L81" s="190">
        <f t="shared" si="19"/>
        <v>-2802.2499999999927</v>
      </c>
      <c r="M81" s="191">
        <f t="shared" si="7"/>
        <v>-229.6729895699514</v>
      </c>
      <c r="N81" s="192">
        <f t="shared" si="8"/>
        <v>-3031.9229895699441</v>
      </c>
      <c r="O81" s="191">
        <v>0</v>
      </c>
      <c r="P81" s="191">
        <v>0</v>
      </c>
      <c r="Q81" s="191">
        <v>0</v>
      </c>
      <c r="R81" s="192">
        <f t="shared" si="9"/>
        <v>-3031.9229895699441</v>
      </c>
    </row>
    <row r="82" spans="1:18" x14ac:dyDescent="0.25">
      <c r="A82" s="149">
        <v>3</v>
      </c>
      <c r="B82" s="184">
        <f t="shared" si="4"/>
        <v>44986</v>
      </c>
      <c r="C82" s="205">
        <f t="shared" si="23"/>
        <v>45021</v>
      </c>
      <c r="D82" s="205">
        <f t="shared" si="23"/>
        <v>45040</v>
      </c>
      <c r="E82" s="193" t="s">
        <v>9</v>
      </c>
      <c r="F82" s="149">
        <v>9</v>
      </c>
      <c r="G82" s="186">
        <v>46</v>
      </c>
      <c r="H82" s="187">
        <f t="shared" si="5"/>
        <v>970.91</v>
      </c>
      <c r="I82" s="187">
        <f t="shared" si="20"/>
        <v>919.96</v>
      </c>
      <c r="J82" s="188">
        <f t="shared" si="2"/>
        <v>42318.16</v>
      </c>
      <c r="K82" s="189">
        <f t="shared" si="11"/>
        <v>44661.86</v>
      </c>
      <c r="L82" s="190">
        <f>+J82-K82</f>
        <v>-2343.6999999999971</v>
      </c>
      <c r="M82" s="191">
        <f t="shared" si="7"/>
        <v>-192.09013673123206</v>
      </c>
      <c r="N82" s="192">
        <f t="shared" si="8"/>
        <v>-2535.7901367312293</v>
      </c>
      <c r="O82" s="191">
        <v>0</v>
      </c>
      <c r="P82" s="191">
        <v>0</v>
      </c>
      <c r="Q82" s="191">
        <v>0</v>
      </c>
      <c r="R82" s="192">
        <f t="shared" si="9"/>
        <v>-2535.7901367312293</v>
      </c>
    </row>
    <row r="83" spans="1:18" ht="12" customHeight="1" x14ac:dyDescent="0.25">
      <c r="A83" s="112">
        <v>4</v>
      </c>
      <c r="B83" s="184">
        <f t="shared" si="4"/>
        <v>45017</v>
      </c>
      <c r="C83" s="205">
        <f t="shared" si="23"/>
        <v>45049</v>
      </c>
      <c r="D83" s="205">
        <f t="shared" si="23"/>
        <v>45070</v>
      </c>
      <c r="E83" s="52" t="s">
        <v>9</v>
      </c>
      <c r="F83" s="149">
        <v>9</v>
      </c>
      <c r="G83" s="186">
        <v>33</v>
      </c>
      <c r="H83" s="187">
        <f t="shared" si="5"/>
        <v>970.91</v>
      </c>
      <c r="I83" s="187">
        <f t="shared" si="20"/>
        <v>919.96</v>
      </c>
      <c r="J83" s="188">
        <f t="shared" si="2"/>
        <v>30358.68</v>
      </c>
      <c r="K83" s="189">
        <f t="shared" si="11"/>
        <v>32040.03</v>
      </c>
      <c r="L83" s="190">
        <f t="shared" ref="L83:L93" si="24">+J83-K83</f>
        <v>-1681.3499999999985</v>
      </c>
      <c r="M83" s="191">
        <f t="shared" si="7"/>
        <v>-137.80379374197082</v>
      </c>
      <c r="N83" s="192">
        <f t="shared" si="8"/>
        <v>-1819.1537937419694</v>
      </c>
      <c r="O83" s="191">
        <v>0</v>
      </c>
      <c r="P83" s="191">
        <v>0</v>
      </c>
      <c r="Q83" s="191">
        <v>0</v>
      </c>
      <c r="R83" s="192">
        <f t="shared" si="9"/>
        <v>-1819.1537937419694</v>
      </c>
    </row>
    <row r="84" spans="1:18" ht="12" customHeight="1" x14ac:dyDescent="0.25">
      <c r="A84" s="149">
        <v>5</v>
      </c>
      <c r="B84" s="184">
        <f t="shared" si="4"/>
        <v>45047</v>
      </c>
      <c r="C84" s="205">
        <f t="shared" si="23"/>
        <v>45082</v>
      </c>
      <c r="D84" s="205">
        <f t="shared" si="23"/>
        <v>45103</v>
      </c>
      <c r="E84" s="52" t="s">
        <v>9</v>
      </c>
      <c r="F84" s="149">
        <v>9</v>
      </c>
      <c r="G84" s="186">
        <v>44</v>
      </c>
      <c r="H84" s="187">
        <f t="shared" si="5"/>
        <v>970.91</v>
      </c>
      <c r="I84" s="187">
        <f t="shared" si="20"/>
        <v>919.96</v>
      </c>
      <c r="J84" s="188">
        <f t="shared" si="2"/>
        <v>40478.240000000005</v>
      </c>
      <c r="K84" s="189">
        <f t="shared" si="11"/>
        <v>42720.04</v>
      </c>
      <c r="L84" s="190">
        <f t="shared" si="24"/>
        <v>-2241.7999999999956</v>
      </c>
      <c r="M84" s="191">
        <f t="shared" si="7"/>
        <v>-183.73839165596112</v>
      </c>
      <c r="N84" s="192">
        <f t="shared" si="8"/>
        <v>-2425.5383916559567</v>
      </c>
      <c r="O84" s="191">
        <v>0</v>
      </c>
      <c r="P84" s="191">
        <v>0</v>
      </c>
      <c r="Q84" s="191">
        <v>0</v>
      </c>
      <c r="R84" s="192">
        <f t="shared" si="9"/>
        <v>-2425.5383916559567</v>
      </c>
    </row>
    <row r="85" spans="1:18" x14ac:dyDescent="0.25">
      <c r="A85" s="149">
        <v>6</v>
      </c>
      <c r="B85" s="184">
        <f t="shared" si="4"/>
        <v>45078</v>
      </c>
      <c r="C85" s="205">
        <f t="shared" si="23"/>
        <v>45112</v>
      </c>
      <c r="D85" s="205">
        <f t="shared" si="23"/>
        <v>45131</v>
      </c>
      <c r="E85" s="52" t="s">
        <v>9</v>
      </c>
      <c r="F85" s="149">
        <v>9</v>
      </c>
      <c r="G85" s="186">
        <v>55</v>
      </c>
      <c r="H85" s="187">
        <f t="shared" ref="H85:H148" si="25">+$K$3</f>
        <v>970.91</v>
      </c>
      <c r="I85" s="187">
        <f t="shared" si="20"/>
        <v>919.96</v>
      </c>
      <c r="J85" s="188">
        <f t="shared" si="2"/>
        <v>50597.8</v>
      </c>
      <c r="K85" s="189">
        <f t="shared" si="11"/>
        <v>53400.049999999996</v>
      </c>
      <c r="L85" s="194">
        <f t="shared" si="24"/>
        <v>-2802.2499999999927</v>
      </c>
      <c r="M85" s="191">
        <f t="shared" ref="M85:M148" si="26">G85/$G$212*$M$14</f>
        <v>-229.6729895699514</v>
      </c>
      <c r="N85" s="192">
        <f t="shared" ref="N85:N148" si="27">SUM(L85:M85)</f>
        <v>-3031.9229895699441</v>
      </c>
      <c r="O85" s="191">
        <v>0</v>
      </c>
      <c r="P85" s="191">
        <v>0</v>
      </c>
      <c r="Q85" s="191">
        <v>0</v>
      </c>
      <c r="R85" s="192">
        <f t="shared" ref="R85:R148" si="28">+N85-Q85</f>
        <v>-3031.9229895699441</v>
      </c>
    </row>
    <row r="86" spans="1:18" x14ac:dyDescent="0.25">
      <c r="A86" s="112">
        <v>7</v>
      </c>
      <c r="B86" s="184">
        <f t="shared" si="4"/>
        <v>45108</v>
      </c>
      <c r="C86" s="205">
        <f t="shared" si="23"/>
        <v>45141</v>
      </c>
      <c r="D86" s="205">
        <f t="shared" si="23"/>
        <v>45162</v>
      </c>
      <c r="E86" s="52" t="s">
        <v>9</v>
      </c>
      <c r="F86" s="149">
        <v>9</v>
      </c>
      <c r="G86" s="186">
        <v>57</v>
      </c>
      <c r="H86" s="187">
        <f t="shared" si="25"/>
        <v>970.91</v>
      </c>
      <c r="I86" s="187">
        <f t="shared" si="20"/>
        <v>919.96</v>
      </c>
      <c r="J86" s="188">
        <f t="shared" si="2"/>
        <v>52437.72</v>
      </c>
      <c r="K86" s="195">
        <f t="shared" si="11"/>
        <v>55341.869999999995</v>
      </c>
      <c r="L86" s="194">
        <f t="shared" si="24"/>
        <v>-2904.1499999999942</v>
      </c>
      <c r="M86" s="191">
        <f t="shared" si="26"/>
        <v>-238.02473464522234</v>
      </c>
      <c r="N86" s="192">
        <f t="shared" si="27"/>
        <v>-3142.1747346452166</v>
      </c>
      <c r="O86" s="191">
        <v>0</v>
      </c>
      <c r="P86" s="191">
        <v>0</v>
      </c>
      <c r="Q86" s="191">
        <v>0</v>
      </c>
      <c r="R86" s="192">
        <f t="shared" si="28"/>
        <v>-3142.1747346452166</v>
      </c>
    </row>
    <row r="87" spans="1:18" x14ac:dyDescent="0.25">
      <c r="A87" s="149">
        <v>8</v>
      </c>
      <c r="B87" s="184">
        <f t="shared" si="4"/>
        <v>45139</v>
      </c>
      <c r="C87" s="205">
        <f t="shared" si="23"/>
        <v>45174</v>
      </c>
      <c r="D87" s="205">
        <f t="shared" si="23"/>
        <v>45194</v>
      </c>
      <c r="E87" s="52" t="s">
        <v>9</v>
      </c>
      <c r="F87" s="149">
        <v>9</v>
      </c>
      <c r="G87" s="186">
        <v>56</v>
      </c>
      <c r="H87" s="187">
        <f t="shared" si="25"/>
        <v>970.91</v>
      </c>
      <c r="I87" s="187">
        <f t="shared" si="20"/>
        <v>919.96</v>
      </c>
      <c r="J87" s="188">
        <f t="shared" si="2"/>
        <v>51517.760000000002</v>
      </c>
      <c r="K87" s="195">
        <f t="shared" si="11"/>
        <v>54370.96</v>
      </c>
      <c r="L87" s="194">
        <f t="shared" si="24"/>
        <v>-2853.1999999999971</v>
      </c>
      <c r="M87" s="191">
        <f t="shared" si="26"/>
        <v>-233.84886210758685</v>
      </c>
      <c r="N87" s="192">
        <f t="shared" si="27"/>
        <v>-3087.0488621075838</v>
      </c>
      <c r="O87" s="191">
        <v>0</v>
      </c>
      <c r="P87" s="191">
        <v>0</v>
      </c>
      <c r="Q87" s="191">
        <v>0</v>
      </c>
      <c r="R87" s="192">
        <f t="shared" si="28"/>
        <v>-3087.0488621075838</v>
      </c>
    </row>
    <row r="88" spans="1:18" x14ac:dyDescent="0.25">
      <c r="A88" s="149">
        <v>9</v>
      </c>
      <c r="B88" s="184">
        <f t="shared" si="4"/>
        <v>45170</v>
      </c>
      <c r="C88" s="205">
        <f t="shared" si="23"/>
        <v>45203</v>
      </c>
      <c r="D88" s="205">
        <f t="shared" si="23"/>
        <v>45223</v>
      </c>
      <c r="E88" s="52" t="s">
        <v>9</v>
      </c>
      <c r="F88" s="149">
        <v>9</v>
      </c>
      <c r="G88" s="186">
        <v>60</v>
      </c>
      <c r="H88" s="187">
        <f t="shared" si="25"/>
        <v>970.91</v>
      </c>
      <c r="I88" s="187">
        <f t="shared" si="20"/>
        <v>919.96</v>
      </c>
      <c r="J88" s="188">
        <f t="shared" si="2"/>
        <v>55197.600000000006</v>
      </c>
      <c r="K88" s="195">
        <f t="shared" si="11"/>
        <v>58254.6</v>
      </c>
      <c r="L88" s="194">
        <f t="shared" si="24"/>
        <v>-3056.9999999999927</v>
      </c>
      <c r="M88" s="191">
        <f t="shared" si="26"/>
        <v>-250.55235225812876</v>
      </c>
      <c r="N88" s="192">
        <f t="shared" si="27"/>
        <v>-3307.5523522581216</v>
      </c>
      <c r="O88" s="191">
        <v>0</v>
      </c>
      <c r="P88" s="191">
        <v>0</v>
      </c>
      <c r="Q88" s="191">
        <v>0</v>
      </c>
      <c r="R88" s="192">
        <f t="shared" si="28"/>
        <v>-3307.5523522581216</v>
      </c>
    </row>
    <row r="89" spans="1:18" x14ac:dyDescent="0.25">
      <c r="A89" s="112">
        <v>10</v>
      </c>
      <c r="B89" s="184">
        <f t="shared" si="4"/>
        <v>45200</v>
      </c>
      <c r="C89" s="205">
        <f t="shared" si="23"/>
        <v>45233</v>
      </c>
      <c r="D89" s="205">
        <f t="shared" si="23"/>
        <v>45254</v>
      </c>
      <c r="E89" s="52" t="s">
        <v>9</v>
      </c>
      <c r="F89" s="149">
        <v>9</v>
      </c>
      <c r="G89" s="186">
        <v>48</v>
      </c>
      <c r="H89" s="187">
        <f t="shared" si="25"/>
        <v>970.91</v>
      </c>
      <c r="I89" s="187">
        <f t="shared" si="20"/>
        <v>919.96</v>
      </c>
      <c r="J89" s="188">
        <f t="shared" si="2"/>
        <v>44158.080000000002</v>
      </c>
      <c r="K89" s="195">
        <f t="shared" si="11"/>
        <v>46603.68</v>
      </c>
      <c r="L89" s="194">
        <f t="shared" si="24"/>
        <v>-2445.5999999999985</v>
      </c>
      <c r="M89" s="191">
        <f t="shared" si="26"/>
        <v>-200.44188180650301</v>
      </c>
      <c r="N89" s="192">
        <f t="shared" si="27"/>
        <v>-2646.0418818065014</v>
      </c>
      <c r="O89" s="191">
        <v>0</v>
      </c>
      <c r="P89" s="191">
        <v>0</v>
      </c>
      <c r="Q89" s="191">
        <v>0</v>
      </c>
      <c r="R89" s="192">
        <f t="shared" si="28"/>
        <v>-2646.0418818065014</v>
      </c>
    </row>
    <row r="90" spans="1:18" x14ac:dyDescent="0.25">
      <c r="A90" s="149">
        <v>11</v>
      </c>
      <c r="B90" s="184">
        <f t="shared" si="4"/>
        <v>45231</v>
      </c>
      <c r="C90" s="205">
        <f t="shared" si="23"/>
        <v>45265</v>
      </c>
      <c r="D90" s="205">
        <f t="shared" si="23"/>
        <v>45285</v>
      </c>
      <c r="E90" s="52" t="s">
        <v>9</v>
      </c>
      <c r="F90" s="149">
        <v>9</v>
      </c>
      <c r="G90" s="186">
        <v>54</v>
      </c>
      <c r="H90" s="187">
        <f t="shared" si="25"/>
        <v>970.91</v>
      </c>
      <c r="I90" s="187">
        <f t="shared" si="20"/>
        <v>919.96</v>
      </c>
      <c r="J90" s="188">
        <f t="shared" si="2"/>
        <v>49677.840000000004</v>
      </c>
      <c r="K90" s="195">
        <f t="shared" si="11"/>
        <v>52429.14</v>
      </c>
      <c r="L90" s="194">
        <f t="shared" si="24"/>
        <v>-2751.2999999999956</v>
      </c>
      <c r="M90" s="191">
        <f t="shared" si="26"/>
        <v>-225.49711703231591</v>
      </c>
      <c r="N90" s="192">
        <f t="shared" si="27"/>
        <v>-2976.7971170323117</v>
      </c>
      <c r="O90" s="191">
        <v>0</v>
      </c>
      <c r="P90" s="191">
        <v>0</v>
      </c>
      <c r="Q90" s="191">
        <v>0</v>
      </c>
      <c r="R90" s="192">
        <f t="shared" si="28"/>
        <v>-2976.7971170323117</v>
      </c>
    </row>
    <row r="91" spans="1:18" s="209" customFormat="1" x14ac:dyDescent="0.25">
      <c r="A91" s="149">
        <v>12</v>
      </c>
      <c r="B91" s="207">
        <f t="shared" si="4"/>
        <v>45261</v>
      </c>
      <c r="C91" s="205">
        <f t="shared" si="23"/>
        <v>45294</v>
      </c>
      <c r="D91" s="205">
        <f t="shared" si="23"/>
        <v>45315</v>
      </c>
      <c r="E91" s="208" t="s">
        <v>9</v>
      </c>
      <c r="F91" s="160">
        <v>9</v>
      </c>
      <c r="G91" s="186">
        <v>55</v>
      </c>
      <c r="H91" s="197">
        <f t="shared" si="25"/>
        <v>970.91</v>
      </c>
      <c r="I91" s="197">
        <f t="shared" si="20"/>
        <v>919.96</v>
      </c>
      <c r="J91" s="198">
        <f t="shared" si="2"/>
        <v>50597.8</v>
      </c>
      <c r="K91" s="199">
        <f t="shared" si="11"/>
        <v>53400.049999999996</v>
      </c>
      <c r="L91" s="200">
        <f t="shared" si="24"/>
        <v>-2802.2499999999927</v>
      </c>
      <c r="M91" s="191">
        <f t="shared" si="26"/>
        <v>-229.6729895699514</v>
      </c>
      <c r="N91" s="192">
        <f t="shared" si="27"/>
        <v>-3031.9229895699441</v>
      </c>
      <c r="O91" s="191">
        <v>0</v>
      </c>
      <c r="P91" s="191">
        <v>0</v>
      </c>
      <c r="Q91" s="191">
        <v>0</v>
      </c>
      <c r="R91" s="192">
        <f t="shared" si="28"/>
        <v>-3031.9229895699441</v>
      </c>
    </row>
    <row r="92" spans="1:18" x14ac:dyDescent="0.25">
      <c r="A92" s="112">
        <v>1</v>
      </c>
      <c r="B92" s="184">
        <f t="shared" si="4"/>
        <v>44927</v>
      </c>
      <c r="C92" s="202">
        <f t="shared" ref="C92:D95" si="29">+C80</f>
        <v>44960</v>
      </c>
      <c r="D92" s="202">
        <f t="shared" si="29"/>
        <v>44981</v>
      </c>
      <c r="E92" s="185" t="s">
        <v>8</v>
      </c>
      <c r="F92" s="112">
        <v>9</v>
      </c>
      <c r="G92" s="186">
        <v>84</v>
      </c>
      <c r="H92" s="187">
        <f t="shared" si="25"/>
        <v>970.91</v>
      </c>
      <c r="I92" s="187">
        <f t="shared" si="20"/>
        <v>919.96</v>
      </c>
      <c r="J92" s="188">
        <f t="shared" si="2"/>
        <v>77276.639999999999</v>
      </c>
      <c r="K92" s="189">
        <f t="shared" si="11"/>
        <v>81556.44</v>
      </c>
      <c r="L92" s="190">
        <f t="shared" si="24"/>
        <v>-4279.8000000000029</v>
      </c>
      <c r="M92" s="191">
        <f t="shared" si="26"/>
        <v>-350.77329316138025</v>
      </c>
      <c r="N92" s="192">
        <f t="shared" si="27"/>
        <v>-4630.5732931613829</v>
      </c>
      <c r="O92" s="191">
        <v>0</v>
      </c>
      <c r="P92" s="191">
        <v>0</v>
      </c>
      <c r="Q92" s="191">
        <v>0</v>
      </c>
      <c r="R92" s="192">
        <f t="shared" si="28"/>
        <v>-4630.5732931613829</v>
      </c>
    </row>
    <row r="93" spans="1:18" x14ac:dyDescent="0.25">
      <c r="A93" s="149">
        <v>2</v>
      </c>
      <c r="B93" s="184">
        <f t="shared" si="4"/>
        <v>44958</v>
      </c>
      <c r="C93" s="205">
        <f t="shared" si="29"/>
        <v>44988</v>
      </c>
      <c r="D93" s="205">
        <f t="shared" si="29"/>
        <v>45009</v>
      </c>
      <c r="E93" s="193" t="s">
        <v>8</v>
      </c>
      <c r="F93" s="149">
        <v>9</v>
      </c>
      <c r="G93" s="186">
        <v>83</v>
      </c>
      <c r="H93" s="187">
        <f t="shared" si="25"/>
        <v>970.91</v>
      </c>
      <c r="I93" s="187">
        <f t="shared" si="20"/>
        <v>919.96</v>
      </c>
      <c r="J93" s="188">
        <f t="shared" si="2"/>
        <v>76356.680000000008</v>
      </c>
      <c r="K93" s="189">
        <f t="shared" si="11"/>
        <v>80585.53</v>
      </c>
      <c r="L93" s="190">
        <f t="shared" si="24"/>
        <v>-4228.8499999999913</v>
      </c>
      <c r="M93" s="191">
        <f t="shared" si="26"/>
        <v>-346.59742062374482</v>
      </c>
      <c r="N93" s="192">
        <f t="shared" si="27"/>
        <v>-4575.4474206237364</v>
      </c>
      <c r="O93" s="191">
        <v>0</v>
      </c>
      <c r="P93" s="191">
        <v>0</v>
      </c>
      <c r="Q93" s="191">
        <v>0</v>
      </c>
      <c r="R93" s="192">
        <f t="shared" si="28"/>
        <v>-4575.4474206237364</v>
      </c>
    </row>
    <row r="94" spans="1:18" x14ac:dyDescent="0.25">
      <c r="A94" s="149">
        <v>3</v>
      </c>
      <c r="B94" s="184">
        <f t="shared" si="4"/>
        <v>44986</v>
      </c>
      <c r="C94" s="205">
        <f t="shared" si="29"/>
        <v>45021</v>
      </c>
      <c r="D94" s="205">
        <f t="shared" si="29"/>
        <v>45040</v>
      </c>
      <c r="E94" s="193" t="s">
        <v>8</v>
      </c>
      <c r="F94" s="149">
        <v>9</v>
      </c>
      <c r="G94" s="186">
        <v>76</v>
      </c>
      <c r="H94" s="187">
        <f t="shared" si="25"/>
        <v>970.91</v>
      </c>
      <c r="I94" s="187">
        <f t="shared" si="20"/>
        <v>919.96</v>
      </c>
      <c r="J94" s="188">
        <f t="shared" si="2"/>
        <v>69916.960000000006</v>
      </c>
      <c r="K94" s="189">
        <f t="shared" ref="K94:K133" si="30">+$G94*H94</f>
        <v>73789.16</v>
      </c>
      <c r="L94" s="190">
        <f>+J94-K94</f>
        <v>-3872.1999999999971</v>
      </c>
      <c r="M94" s="191">
        <f t="shared" si="26"/>
        <v>-317.36631286029649</v>
      </c>
      <c r="N94" s="192">
        <f t="shared" si="27"/>
        <v>-4189.5663128602937</v>
      </c>
      <c r="O94" s="191">
        <v>0</v>
      </c>
      <c r="P94" s="191">
        <v>0</v>
      </c>
      <c r="Q94" s="191">
        <v>0</v>
      </c>
      <c r="R94" s="192">
        <f t="shared" si="28"/>
        <v>-4189.5663128602937</v>
      </c>
    </row>
    <row r="95" spans="1:18" x14ac:dyDescent="0.25">
      <c r="A95" s="112">
        <v>4</v>
      </c>
      <c r="B95" s="184">
        <f t="shared" si="4"/>
        <v>45017</v>
      </c>
      <c r="C95" s="205">
        <f t="shared" si="29"/>
        <v>45049</v>
      </c>
      <c r="D95" s="205">
        <f t="shared" si="29"/>
        <v>45070</v>
      </c>
      <c r="E95" s="193" t="s">
        <v>8</v>
      </c>
      <c r="F95" s="149">
        <v>9</v>
      </c>
      <c r="G95" s="186">
        <v>69</v>
      </c>
      <c r="H95" s="187">
        <f t="shared" si="25"/>
        <v>970.91</v>
      </c>
      <c r="I95" s="187">
        <f t="shared" si="20"/>
        <v>919.96</v>
      </c>
      <c r="J95" s="188">
        <f t="shared" si="2"/>
        <v>63477.240000000005</v>
      </c>
      <c r="K95" s="189">
        <f t="shared" si="30"/>
        <v>66992.789999999994</v>
      </c>
      <c r="L95" s="190">
        <f t="shared" ref="L95:L105" si="31">+J95-K95</f>
        <v>-3515.5499999999884</v>
      </c>
      <c r="M95" s="191">
        <f t="shared" si="26"/>
        <v>-288.1352050968481</v>
      </c>
      <c r="N95" s="192">
        <f t="shared" si="27"/>
        <v>-3803.6852050968364</v>
      </c>
      <c r="O95" s="191">
        <v>0</v>
      </c>
      <c r="P95" s="191">
        <v>0</v>
      </c>
      <c r="Q95" s="191">
        <v>0</v>
      </c>
      <c r="R95" s="192">
        <f t="shared" si="28"/>
        <v>-3803.6852050968364</v>
      </c>
    </row>
    <row r="96" spans="1:18" x14ac:dyDescent="0.25">
      <c r="A96" s="149">
        <v>5</v>
      </c>
      <c r="B96" s="184">
        <f t="shared" si="4"/>
        <v>45047</v>
      </c>
      <c r="C96" s="205">
        <f t="shared" ref="C96:D116" si="32">+C84</f>
        <v>45082</v>
      </c>
      <c r="D96" s="205">
        <f t="shared" si="32"/>
        <v>45103</v>
      </c>
      <c r="E96" s="52" t="s">
        <v>8</v>
      </c>
      <c r="F96" s="149">
        <v>9</v>
      </c>
      <c r="G96" s="186">
        <v>99</v>
      </c>
      <c r="H96" s="187">
        <f t="shared" si="25"/>
        <v>970.91</v>
      </c>
      <c r="I96" s="187">
        <f t="shared" si="20"/>
        <v>919.96</v>
      </c>
      <c r="J96" s="188">
        <f t="shared" si="2"/>
        <v>91076.040000000008</v>
      </c>
      <c r="K96" s="189">
        <f t="shared" si="30"/>
        <v>96120.09</v>
      </c>
      <c r="L96" s="190">
        <f t="shared" si="31"/>
        <v>-5044.0499999999884</v>
      </c>
      <c r="M96" s="191">
        <f t="shared" si="26"/>
        <v>-413.41138122591252</v>
      </c>
      <c r="N96" s="192">
        <f t="shared" si="27"/>
        <v>-5457.4613812259013</v>
      </c>
      <c r="O96" s="191">
        <v>0</v>
      </c>
      <c r="P96" s="191">
        <v>0</v>
      </c>
      <c r="Q96" s="191">
        <v>0</v>
      </c>
      <c r="R96" s="192">
        <f t="shared" si="28"/>
        <v>-5457.4613812259013</v>
      </c>
    </row>
    <row r="97" spans="1:18" x14ac:dyDescent="0.25">
      <c r="A97" s="149">
        <v>6</v>
      </c>
      <c r="B97" s="184">
        <f t="shared" si="4"/>
        <v>45078</v>
      </c>
      <c r="C97" s="205">
        <f t="shared" si="32"/>
        <v>45112</v>
      </c>
      <c r="D97" s="205">
        <f t="shared" si="32"/>
        <v>45131</v>
      </c>
      <c r="E97" s="52" t="s">
        <v>8</v>
      </c>
      <c r="F97" s="149">
        <v>9</v>
      </c>
      <c r="G97" s="186">
        <v>149</v>
      </c>
      <c r="H97" s="187">
        <f t="shared" si="25"/>
        <v>970.91</v>
      </c>
      <c r="I97" s="187">
        <f t="shared" si="20"/>
        <v>919.96</v>
      </c>
      <c r="J97" s="188">
        <f t="shared" si="2"/>
        <v>137074.04</v>
      </c>
      <c r="K97" s="189">
        <f t="shared" si="30"/>
        <v>144665.59</v>
      </c>
      <c r="L97" s="194">
        <f t="shared" si="31"/>
        <v>-7591.5499999999884</v>
      </c>
      <c r="M97" s="191">
        <f t="shared" si="26"/>
        <v>-622.20500810768647</v>
      </c>
      <c r="N97" s="192">
        <f t="shared" si="27"/>
        <v>-8213.7550081076752</v>
      </c>
      <c r="O97" s="191">
        <v>0</v>
      </c>
      <c r="P97" s="191">
        <v>0</v>
      </c>
      <c r="Q97" s="191">
        <v>0</v>
      </c>
      <c r="R97" s="192">
        <f t="shared" si="28"/>
        <v>-8213.7550081076752</v>
      </c>
    </row>
    <row r="98" spans="1:18" x14ac:dyDescent="0.25">
      <c r="A98" s="112">
        <v>7</v>
      </c>
      <c r="B98" s="184">
        <f t="shared" si="4"/>
        <v>45108</v>
      </c>
      <c r="C98" s="205">
        <f t="shared" si="32"/>
        <v>45141</v>
      </c>
      <c r="D98" s="205">
        <f t="shared" si="32"/>
        <v>45162</v>
      </c>
      <c r="E98" s="52" t="s">
        <v>8</v>
      </c>
      <c r="F98" s="149">
        <v>9</v>
      </c>
      <c r="G98" s="186">
        <v>148</v>
      </c>
      <c r="H98" s="187">
        <f t="shared" si="25"/>
        <v>970.91</v>
      </c>
      <c r="I98" s="187">
        <f t="shared" si="20"/>
        <v>919.96</v>
      </c>
      <c r="J98" s="188">
        <f t="shared" si="2"/>
        <v>136154.08000000002</v>
      </c>
      <c r="K98" s="195">
        <f t="shared" si="30"/>
        <v>143694.68</v>
      </c>
      <c r="L98" s="194">
        <f t="shared" si="31"/>
        <v>-7540.5999999999767</v>
      </c>
      <c r="M98" s="191">
        <f t="shared" si="26"/>
        <v>-618.02913557005093</v>
      </c>
      <c r="N98" s="192">
        <f t="shared" si="27"/>
        <v>-8158.6291355700278</v>
      </c>
      <c r="O98" s="191">
        <v>0</v>
      </c>
      <c r="P98" s="191">
        <v>0</v>
      </c>
      <c r="Q98" s="191">
        <v>0</v>
      </c>
      <c r="R98" s="192">
        <f t="shared" si="28"/>
        <v>-8158.6291355700278</v>
      </c>
    </row>
    <row r="99" spans="1:18" x14ac:dyDescent="0.25">
      <c r="A99" s="149">
        <v>8</v>
      </c>
      <c r="B99" s="184">
        <f t="shared" si="4"/>
        <v>45139</v>
      </c>
      <c r="C99" s="205">
        <f t="shared" si="32"/>
        <v>45174</v>
      </c>
      <c r="D99" s="205">
        <f t="shared" si="32"/>
        <v>45194</v>
      </c>
      <c r="E99" s="52" t="s">
        <v>8</v>
      </c>
      <c r="F99" s="149">
        <v>9</v>
      </c>
      <c r="G99" s="186">
        <v>160</v>
      </c>
      <c r="H99" s="187">
        <f t="shared" si="25"/>
        <v>970.91</v>
      </c>
      <c r="I99" s="187">
        <f t="shared" si="20"/>
        <v>919.96</v>
      </c>
      <c r="J99" s="188">
        <f t="shared" si="2"/>
        <v>147193.60000000001</v>
      </c>
      <c r="K99" s="195">
        <f t="shared" si="30"/>
        <v>155345.60000000001</v>
      </c>
      <c r="L99" s="194">
        <f t="shared" si="31"/>
        <v>-8152</v>
      </c>
      <c r="M99" s="191">
        <f t="shared" si="26"/>
        <v>-668.13960602167674</v>
      </c>
      <c r="N99" s="192">
        <f t="shared" si="27"/>
        <v>-8820.1396060216775</v>
      </c>
      <c r="O99" s="191">
        <v>0</v>
      </c>
      <c r="P99" s="191">
        <v>0</v>
      </c>
      <c r="Q99" s="191">
        <v>0</v>
      </c>
      <c r="R99" s="192">
        <f t="shared" si="28"/>
        <v>-8820.1396060216775</v>
      </c>
    </row>
    <row r="100" spans="1:18" x14ac:dyDescent="0.25">
      <c r="A100" s="149">
        <v>9</v>
      </c>
      <c r="B100" s="184">
        <f t="shared" si="4"/>
        <v>45170</v>
      </c>
      <c r="C100" s="205">
        <f t="shared" si="32"/>
        <v>45203</v>
      </c>
      <c r="D100" s="205">
        <f t="shared" si="32"/>
        <v>45223</v>
      </c>
      <c r="E100" s="52" t="s">
        <v>8</v>
      </c>
      <c r="F100" s="149">
        <v>9</v>
      </c>
      <c r="G100" s="186">
        <v>155</v>
      </c>
      <c r="H100" s="187">
        <f t="shared" si="25"/>
        <v>970.91</v>
      </c>
      <c r="I100" s="187">
        <f t="shared" si="20"/>
        <v>919.96</v>
      </c>
      <c r="J100" s="188">
        <f t="shared" si="2"/>
        <v>142593.80000000002</v>
      </c>
      <c r="K100" s="195">
        <f t="shared" si="30"/>
        <v>150491.04999999999</v>
      </c>
      <c r="L100" s="194">
        <f t="shared" si="31"/>
        <v>-7897.2499999999709</v>
      </c>
      <c r="M100" s="191">
        <f t="shared" si="26"/>
        <v>-647.26024333349926</v>
      </c>
      <c r="N100" s="192">
        <f t="shared" si="27"/>
        <v>-8544.5102433334705</v>
      </c>
      <c r="O100" s="191">
        <v>0</v>
      </c>
      <c r="P100" s="191">
        <v>0</v>
      </c>
      <c r="Q100" s="191">
        <v>0</v>
      </c>
      <c r="R100" s="192">
        <f t="shared" si="28"/>
        <v>-8544.5102433334705</v>
      </c>
    </row>
    <row r="101" spans="1:18" x14ac:dyDescent="0.25">
      <c r="A101" s="112">
        <v>10</v>
      </c>
      <c r="B101" s="184">
        <f t="shared" si="4"/>
        <v>45200</v>
      </c>
      <c r="C101" s="205">
        <f t="shared" si="32"/>
        <v>45233</v>
      </c>
      <c r="D101" s="205">
        <f t="shared" si="32"/>
        <v>45254</v>
      </c>
      <c r="E101" s="52" t="s">
        <v>8</v>
      </c>
      <c r="F101" s="149">
        <v>9</v>
      </c>
      <c r="G101" s="186">
        <v>110</v>
      </c>
      <c r="H101" s="187">
        <f t="shared" si="25"/>
        <v>970.91</v>
      </c>
      <c r="I101" s="187">
        <f t="shared" si="20"/>
        <v>919.96</v>
      </c>
      <c r="J101" s="188">
        <f t="shared" si="2"/>
        <v>101195.6</v>
      </c>
      <c r="K101" s="195">
        <f t="shared" si="30"/>
        <v>106800.09999999999</v>
      </c>
      <c r="L101" s="194">
        <f t="shared" si="31"/>
        <v>-5604.4999999999854</v>
      </c>
      <c r="M101" s="191">
        <f t="shared" si="26"/>
        <v>-459.34597913990279</v>
      </c>
      <c r="N101" s="192">
        <f t="shared" si="27"/>
        <v>-6063.8459791398882</v>
      </c>
      <c r="O101" s="191">
        <v>0</v>
      </c>
      <c r="P101" s="191">
        <v>0</v>
      </c>
      <c r="Q101" s="191">
        <v>0</v>
      </c>
      <c r="R101" s="192">
        <f t="shared" si="28"/>
        <v>-6063.8459791398882</v>
      </c>
    </row>
    <row r="102" spans="1:18" x14ac:dyDescent="0.25">
      <c r="A102" s="149">
        <v>11</v>
      </c>
      <c r="B102" s="184">
        <f t="shared" si="4"/>
        <v>45231</v>
      </c>
      <c r="C102" s="205">
        <f t="shared" si="32"/>
        <v>45265</v>
      </c>
      <c r="D102" s="205">
        <f t="shared" si="32"/>
        <v>45285</v>
      </c>
      <c r="E102" s="52" t="s">
        <v>8</v>
      </c>
      <c r="F102" s="149">
        <v>9</v>
      </c>
      <c r="G102" s="186">
        <v>70</v>
      </c>
      <c r="H102" s="187">
        <f t="shared" si="25"/>
        <v>970.91</v>
      </c>
      <c r="I102" s="187">
        <f t="shared" si="20"/>
        <v>919.96</v>
      </c>
      <c r="J102" s="188">
        <f t="shared" si="2"/>
        <v>64397.200000000004</v>
      </c>
      <c r="K102" s="195">
        <f t="shared" si="30"/>
        <v>67963.7</v>
      </c>
      <c r="L102" s="194">
        <f t="shared" si="31"/>
        <v>-3566.4999999999927</v>
      </c>
      <c r="M102" s="191">
        <f t="shared" si="26"/>
        <v>-292.31107763448358</v>
      </c>
      <c r="N102" s="192">
        <f t="shared" si="27"/>
        <v>-3858.8110776344765</v>
      </c>
      <c r="O102" s="191">
        <v>0</v>
      </c>
      <c r="P102" s="191">
        <v>0</v>
      </c>
      <c r="Q102" s="191">
        <v>0</v>
      </c>
      <c r="R102" s="192">
        <f t="shared" si="28"/>
        <v>-3858.8110776344765</v>
      </c>
    </row>
    <row r="103" spans="1:18" s="209" customFormat="1" x14ac:dyDescent="0.25">
      <c r="A103" s="149">
        <v>12</v>
      </c>
      <c r="B103" s="207">
        <f t="shared" si="4"/>
        <v>45261</v>
      </c>
      <c r="C103" s="205">
        <f t="shared" si="32"/>
        <v>45294</v>
      </c>
      <c r="D103" s="205">
        <f t="shared" si="32"/>
        <v>45315</v>
      </c>
      <c r="E103" s="208" t="s">
        <v>8</v>
      </c>
      <c r="F103" s="160">
        <v>9</v>
      </c>
      <c r="G103" s="186">
        <v>66</v>
      </c>
      <c r="H103" s="197">
        <f t="shared" si="25"/>
        <v>970.91</v>
      </c>
      <c r="I103" s="197">
        <f t="shared" si="20"/>
        <v>919.96</v>
      </c>
      <c r="J103" s="198">
        <f t="shared" si="2"/>
        <v>60717.36</v>
      </c>
      <c r="K103" s="199">
        <f t="shared" si="30"/>
        <v>64080.06</v>
      </c>
      <c r="L103" s="200">
        <f t="shared" si="31"/>
        <v>-3362.6999999999971</v>
      </c>
      <c r="M103" s="191">
        <f t="shared" si="26"/>
        <v>-275.60758748394164</v>
      </c>
      <c r="N103" s="192">
        <f t="shared" si="27"/>
        <v>-3638.3075874839387</v>
      </c>
      <c r="O103" s="191">
        <v>0</v>
      </c>
      <c r="P103" s="191">
        <v>0</v>
      </c>
      <c r="Q103" s="191">
        <v>0</v>
      </c>
      <c r="R103" s="192">
        <f t="shared" si="28"/>
        <v>-3638.3075874839387</v>
      </c>
    </row>
    <row r="104" spans="1:18" x14ac:dyDescent="0.25">
      <c r="A104" s="112">
        <v>1</v>
      </c>
      <c r="B104" s="184">
        <f t="shared" si="4"/>
        <v>44927</v>
      </c>
      <c r="C104" s="202">
        <f t="shared" si="32"/>
        <v>44960</v>
      </c>
      <c r="D104" s="202">
        <f t="shared" si="32"/>
        <v>44981</v>
      </c>
      <c r="E104" s="185" t="s">
        <v>19</v>
      </c>
      <c r="F104" s="112">
        <v>9</v>
      </c>
      <c r="G104" s="186">
        <v>63</v>
      </c>
      <c r="H104" s="187">
        <f t="shared" si="25"/>
        <v>970.91</v>
      </c>
      <c r="I104" s="187">
        <f t="shared" si="20"/>
        <v>919.96</v>
      </c>
      <c r="J104" s="188">
        <f t="shared" si="2"/>
        <v>57957.48</v>
      </c>
      <c r="K104" s="189">
        <f t="shared" si="30"/>
        <v>61167.329999999994</v>
      </c>
      <c r="L104" s="190">
        <f t="shared" si="31"/>
        <v>-3209.8499999999913</v>
      </c>
      <c r="M104" s="191">
        <f t="shared" si="26"/>
        <v>-263.07996987103519</v>
      </c>
      <c r="N104" s="192">
        <f t="shared" si="27"/>
        <v>-3472.9299698710265</v>
      </c>
      <c r="O104" s="191">
        <v>0</v>
      </c>
      <c r="P104" s="191">
        <v>0</v>
      </c>
      <c r="Q104" s="191">
        <v>0</v>
      </c>
      <c r="R104" s="192">
        <f t="shared" si="28"/>
        <v>-3472.9299698710265</v>
      </c>
    </row>
    <row r="105" spans="1:18" x14ac:dyDescent="0.25">
      <c r="A105" s="149">
        <v>2</v>
      </c>
      <c r="B105" s="184">
        <f t="shared" si="4"/>
        <v>44958</v>
      </c>
      <c r="C105" s="205">
        <f t="shared" si="32"/>
        <v>44988</v>
      </c>
      <c r="D105" s="205">
        <f t="shared" si="32"/>
        <v>45009</v>
      </c>
      <c r="E105" s="193" t="s">
        <v>19</v>
      </c>
      <c r="F105" s="149">
        <v>9</v>
      </c>
      <c r="G105" s="186">
        <v>63</v>
      </c>
      <c r="H105" s="187">
        <f t="shared" si="25"/>
        <v>970.91</v>
      </c>
      <c r="I105" s="187">
        <f t="shared" si="20"/>
        <v>919.96</v>
      </c>
      <c r="J105" s="188">
        <f t="shared" si="2"/>
        <v>57957.48</v>
      </c>
      <c r="K105" s="189">
        <f t="shared" si="30"/>
        <v>61167.329999999994</v>
      </c>
      <c r="L105" s="190">
        <f t="shared" si="31"/>
        <v>-3209.8499999999913</v>
      </c>
      <c r="M105" s="191">
        <f t="shared" si="26"/>
        <v>-263.07996987103519</v>
      </c>
      <c r="N105" s="192">
        <f t="shared" si="27"/>
        <v>-3472.9299698710265</v>
      </c>
      <c r="O105" s="191">
        <v>0</v>
      </c>
      <c r="P105" s="191">
        <v>0</v>
      </c>
      <c r="Q105" s="191">
        <v>0</v>
      </c>
      <c r="R105" s="192">
        <f t="shared" si="28"/>
        <v>-3472.9299698710265</v>
      </c>
    </row>
    <row r="106" spans="1:18" x14ac:dyDescent="0.25">
      <c r="A106" s="149">
        <v>3</v>
      </c>
      <c r="B106" s="184">
        <f t="shared" si="4"/>
        <v>44986</v>
      </c>
      <c r="C106" s="205">
        <f t="shared" si="32"/>
        <v>45021</v>
      </c>
      <c r="D106" s="205">
        <f t="shared" si="32"/>
        <v>45040</v>
      </c>
      <c r="E106" s="193" t="s">
        <v>19</v>
      </c>
      <c r="F106" s="149">
        <v>9</v>
      </c>
      <c r="G106" s="186">
        <v>67</v>
      </c>
      <c r="H106" s="187">
        <f t="shared" si="25"/>
        <v>970.91</v>
      </c>
      <c r="I106" s="187">
        <f t="shared" si="20"/>
        <v>919.96</v>
      </c>
      <c r="J106" s="188">
        <f t="shared" si="2"/>
        <v>61637.32</v>
      </c>
      <c r="K106" s="189">
        <f t="shared" si="30"/>
        <v>65050.97</v>
      </c>
      <c r="L106" s="190">
        <f>+J106-K106</f>
        <v>-3413.6500000000015</v>
      </c>
      <c r="M106" s="191">
        <f t="shared" si="26"/>
        <v>-279.78346002157713</v>
      </c>
      <c r="N106" s="192">
        <f t="shared" si="27"/>
        <v>-3693.4334600215784</v>
      </c>
      <c r="O106" s="191">
        <v>0</v>
      </c>
      <c r="P106" s="191">
        <v>0</v>
      </c>
      <c r="Q106" s="191">
        <v>0</v>
      </c>
      <c r="R106" s="192">
        <f t="shared" si="28"/>
        <v>-3693.4334600215784</v>
      </c>
    </row>
    <row r="107" spans="1:18" x14ac:dyDescent="0.25">
      <c r="A107" s="112">
        <v>4</v>
      </c>
      <c r="B107" s="184">
        <f t="shared" si="4"/>
        <v>45017</v>
      </c>
      <c r="C107" s="205">
        <f t="shared" si="32"/>
        <v>45049</v>
      </c>
      <c r="D107" s="205">
        <f t="shared" si="32"/>
        <v>45070</v>
      </c>
      <c r="E107" s="52" t="s">
        <v>19</v>
      </c>
      <c r="F107" s="149">
        <v>9</v>
      </c>
      <c r="G107" s="186">
        <v>62</v>
      </c>
      <c r="H107" s="187">
        <f t="shared" si="25"/>
        <v>970.91</v>
      </c>
      <c r="I107" s="187">
        <f t="shared" si="20"/>
        <v>919.96</v>
      </c>
      <c r="J107" s="188">
        <f t="shared" si="2"/>
        <v>57037.520000000004</v>
      </c>
      <c r="K107" s="189">
        <f t="shared" si="30"/>
        <v>60196.42</v>
      </c>
      <c r="L107" s="190">
        <f t="shared" ref="L107:L115" si="33">+J107-K107</f>
        <v>-3158.8999999999942</v>
      </c>
      <c r="M107" s="191">
        <f t="shared" si="26"/>
        <v>-258.9040973333997</v>
      </c>
      <c r="N107" s="192">
        <f t="shared" si="27"/>
        <v>-3417.8040973333937</v>
      </c>
      <c r="O107" s="191">
        <v>0</v>
      </c>
      <c r="P107" s="191">
        <v>0</v>
      </c>
      <c r="Q107" s="191">
        <v>0</v>
      </c>
      <c r="R107" s="192">
        <f t="shared" si="28"/>
        <v>-3417.8040973333937</v>
      </c>
    </row>
    <row r="108" spans="1:18" x14ac:dyDescent="0.25">
      <c r="A108" s="149">
        <v>5</v>
      </c>
      <c r="B108" s="184">
        <f t="shared" si="4"/>
        <v>45047</v>
      </c>
      <c r="C108" s="205">
        <f t="shared" si="32"/>
        <v>45082</v>
      </c>
      <c r="D108" s="205">
        <f t="shared" si="32"/>
        <v>45103</v>
      </c>
      <c r="E108" s="52" t="s">
        <v>19</v>
      </c>
      <c r="F108" s="149">
        <v>9</v>
      </c>
      <c r="G108" s="186">
        <v>51</v>
      </c>
      <c r="H108" s="187">
        <f t="shared" si="25"/>
        <v>970.91</v>
      </c>
      <c r="I108" s="187">
        <f t="shared" ref="I108:I127" si="34">$J$3</f>
        <v>919.96</v>
      </c>
      <c r="J108" s="188">
        <f t="shared" si="2"/>
        <v>46917.96</v>
      </c>
      <c r="K108" s="189">
        <f t="shared" si="30"/>
        <v>49516.409999999996</v>
      </c>
      <c r="L108" s="190">
        <f t="shared" si="33"/>
        <v>-2598.4499999999971</v>
      </c>
      <c r="M108" s="191">
        <f t="shared" si="26"/>
        <v>-212.96949941940943</v>
      </c>
      <c r="N108" s="192">
        <f t="shared" si="27"/>
        <v>-2811.4194994194067</v>
      </c>
      <c r="O108" s="191">
        <v>0</v>
      </c>
      <c r="P108" s="191">
        <v>0</v>
      </c>
      <c r="Q108" s="191">
        <v>0</v>
      </c>
      <c r="R108" s="192">
        <f t="shared" si="28"/>
        <v>-2811.4194994194067</v>
      </c>
    </row>
    <row r="109" spans="1:18" x14ac:dyDescent="0.25">
      <c r="A109" s="149">
        <v>6</v>
      </c>
      <c r="B109" s="184">
        <f t="shared" ref="B109:B148" si="35">DATE($R$1,A109,1)</f>
        <v>45078</v>
      </c>
      <c r="C109" s="205">
        <f t="shared" si="32"/>
        <v>45112</v>
      </c>
      <c r="D109" s="205">
        <f t="shared" si="32"/>
        <v>45131</v>
      </c>
      <c r="E109" s="52" t="s">
        <v>19</v>
      </c>
      <c r="F109" s="149">
        <v>9</v>
      </c>
      <c r="G109" s="186">
        <v>67</v>
      </c>
      <c r="H109" s="187">
        <f t="shared" si="25"/>
        <v>970.91</v>
      </c>
      <c r="I109" s="187">
        <f t="shared" si="34"/>
        <v>919.96</v>
      </c>
      <c r="J109" s="188">
        <f t="shared" ref="J109:J148" si="36">+$G109*I109</f>
        <v>61637.32</v>
      </c>
      <c r="K109" s="189">
        <f t="shared" si="30"/>
        <v>65050.97</v>
      </c>
      <c r="L109" s="194">
        <f t="shared" si="33"/>
        <v>-3413.6500000000015</v>
      </c>
      <c r="M109" s="191">
        <f t="shared" si="26"/>
        <v>-279.78346002157713</v>
      </c>
      <c r="N109" s="192">
        <f t="shared" si="27"/>
        <v>-3693.4334600215784</v>
      </c>
      <c r="O109" s="191">
        <v>0</v>
      </c>
      <c r="P109" s="191">
        <v>0</v>
      </c>
      <c r="Q109" s="191">
        <v>0</v>
      </c>
      <c r="R109" s="192">
        <f t="shared" si="28"/>
        <v>-3693.4334600215784</v>
      </c>
    </row>
    <row r="110" spans="1:18" x14ac:dyDescent="0.25">
      <c r="A110" s="112">
        <v>7</v>
      </c>
      <c r="B110" s="184">
        <f t="shared" si="35"/>
        <v>45108</v>
      </c>
      <c r="C110" s="205">
        <f t="shared" si="32"/>
        <v>45141</v>
      </c>
      <c r="D110" s="205">
        <f t="shared" si="32"/>
        <v>45162</v>
      </c>
      <c r="E110" s="52" t="s">
        <v>19</v>
      </c>
      <c r="F110" s="149">
        <v>9</v>
      </c>
      <c r="G110" s="186">
        <v>66</v>
      </c>
      <c r="H110" s="187">
        <f t="shared" si="25"/>
        <v>970.91</v>
      </c>
      <c r="I110" s="187">
        <f t="shared" si="34"/>
        <v>919.96</v>
      </c>
      <c r="J110" s="188">
        <f t="shared" si="36"/>
        <v>60717.36</v>
      </c>
      <c r="K110" s="195">
        <f t="shared" si="30"/>
        <v>64080.06</v>
      </c>
      <c r="L110" s="194">
        <f t="shared" si="33"/>
        <v>-3362.6999999999971</v>
      </c>
      <c r="M110" s="191">
        <f t="shared" si="26"/>
        <v>-275.60758748394164</v>
      </c>
      <c r="N110" s="192">
        <f t="shared" si="27"/>
        <v>-3638.3075874839387</v>
      </c>
      <c r="O110" s="191">
        <v>0</v>
      </c>
      <c r="P110" s="191">
        <v>0</v>
      </c>
      <c r="Q110" s="191">
        <v>0</v>
      </c>
      <c r="R110" s="192">
        <f t="shared" si="28"/>
        <v>-3638.3075874839387</v>
      </c>
    </row>
    <row r="111" spans="1:18" x14ac:dyDescent="0.25">
      <c r="A111" s="149">
        <v>8</v>
      </c>
      <c r="B111" s="184">
        <f t="shared" si="35"/>
        <v>45139</v>
      </c>
      <c r="C111" s="205">
        <f t="shared" si="32"/>
        <v>45174</v>
      </c>
      <c r="D111" s="205">
        <f t="shared" si="32"/>
        <v>45194</v>
      </c>
      <c r="E111" s="52" t="s">
        <v>19</v>
      </c>
      <c r="F111" s="149">
        <v>9</v>
      </c>
      <c r="G111" s="186">
        <v>61</v>
      </c>
      <c r="H111" s="187">
        <f t="shared" si="25"/>
        <v>970.91</v>
      </c>
      <c r="I111" s="187">
        <f t="shared" si="34"/>
        <v>919.96</v>
      </c>
      <c r="J111" s="188">
        <f t="shared" si="36"/>
        <v>56117.560000000005</v>
      </c>
      <c r="K111" s="195">
        <f t="shared" si="30"/>
        <v>59225.509999999995</v>
      </c>
      <c r="L111" s="194">
        <f t="shared" si="33"/>
        <v>-3107.9499999999898</v>
      </c>
      <c r="M111" s="191">
        <f t="shared" si="26"/>
        <v>-254.72822479576425</v>
      </c>
      <c r="N111" s="192">
        <f t="shared" si="27"/>
        <v>-3362.678224795754</v>
      </c>
      <c r="O111" s="191">
        <v>0</v>
      </c>
      <c r="P111" s="191">
        <v>0</v>
      </c>
      <c r="Q111" s="191">
        <v>0</v>
      </c>
      <c r="R111" s="192">
        <f t="shared" si="28"/>
        <v>-3362.678224795754</v>
      </c>
    </row>
    <row r="112" spans="1:18" x14ac:dyDescent="0.25">
      <c r="A112" s="149">
        <v>9</v>
      </c>
      <c r="B112" s="184">
        <f t="shared" si="35"/>
        <v>45170</v>
      </c>
      <c r="C112" s="205">
        <f t="shared" si="32"/>
        <v>45203</v>
      </c>
      <c r="D112" s="205">
        <f t="shared" si="32"/>
        <v>45223</v>
      </c>
      <c r="E112" s="52" t="s">
        <v>19</v>
      </c>
      <c r="F112" s="149">
        <v>9</v>
      </c>
      <c r="G112" s="186">
        <v>55</v>
      </c>
      <c r="H112" s="187">
        <f t="shared" si="25"/>
        <v>970.91</v>
      </c>
      <c r="I112" s="187">
        <f t="shared" si="34"/>
        <v>919.96</v>
      </c>
      <c r="J112" s="188">
        <f t="shared" si="36"/>
        <v>50597.8</v>
      </c>
      <c r="K112" s="195">
        <f t="shared" si="30"/>
        <v>53400.049999999996</v>
      </c>
      <c r="L112" s="194">
        <f t="shared" si="33"/>
        <v>-2802.2499999999927</v>
      </c>
      <c r="M112" s="191">
        <f t="shared" si="26"/>
        <v>-229.6729895699514</v>
      </c>
      <c r="N112" s="192">
        <f t="shared" si="27"/>
        <v>-3031.9229895699441</v>
      </c>
      <c r="O112" s="191">
        <v>0</v>
      </c>
      <c r="P112" s="191">
        <v>0</v>
      </c>
      <c r="Q112" s="191">
        <v>0</v>
      </c>
      <c r="R112" s="192">
        <f t="shared" si="28"/>
        <v>-3031.9229895699441</v>
      </c>
    </row>
    <row r="113" spans="1:18" x14ac:dyDescent="0.25">
      <c r="A113" s="112">
        <v>10</v>
      </c>
      <c r="B113" s="184">
        <f t="shared" si="35"/>
        <v>45200</v>
      </c>
      <c r="C113" s="205">
        <f t="shared" si="32"/>
        <v>45233</v>
      </c>
      <c r="D113" s="205">
        <f t="shared" si="32"/>
        <v>45254</v>
      </c>
      <c r="E113" s="52" t="s">
        <v>19</v>
      </c>
      <c r="F113" s="149">
        <v>9</v>
      </c>
      <c r="G113" s="186">
        <v>59</v>
      </c>
      <c r="H113" s="187">
        <f t="shared" si="25"/>
        <v>970.91</v>
      </c>
      <c r="I113" s="187">
        <f t="shared" si="34"/>
        <v>919.96</v>
      </c>
      <c r="J113" s="188">
        <f t="shared" si="36"/>
        <v>54277.64</v>
      </c>
      <c r="K113" s="195">
        <f t="shared" si="30"/>
        <v>57283.689999999995</v>
      </c>
      <c r="L113" s="194">
        <f t="shared" si="33"/>
        <v>-3006.0499999999956</v>
      </c>
      <c r="M113" s="191">
        <f t="shared" si="26"/>
        <v>-246.37647972049328</v>
      </c>
      <c r="N113" s="192">
        <f t="shared" si="27"/>
        <v>-3252.4264797204887</v>
      </c>
      <c r="O113" s="191">
        <v>0</v>
      </c>
      <c r="P113" s="191">
        <v>0</v>
      </c>
      <c r="Q113" s="191">
        <v>0</v>
      </c>
      <c r="R113" s="192">
        <f t="shared" si="28"/>
        <v>-3252.4264797204887</v>
      </c>
    </row>
    <row r="114" spans="1:18" x14ac:dyDescent="0.25">
      <c r="A114" s="149">
        <v>11</v>
      </c>
      <c r="B114" s="184">
        <f t="shared" si="35"/>
        <v>45231</v>
      </c>
      <c r="C114" s="205">
        <f t="shared" si="32"/>
        <v>45265</v>
      </c>
      <c r="D114" s="205">
        <f t="shared" si="32"/>
        <v>45285</v>
      </c>
      <c r="E114" s="52" t="s">
        <v>19</v>
      </c>
      <c r="F114" s="149">
        <v>9</v>
      </c>
      <c r="G114" s="186">
        <v>63</v>
      </c>
      <c r="H114" s="187">
        <f t="shared" si="25"/>
        <v>970.91</v>
      </c>
      <c r="I114" s="187">
        <f t="shared" si="34"/>
        <v>919.96</v>
      </c>
      <c r="J114" s="188">
        <f t="shared" si="36"/>
        <v>57957.48</v>
      </c>
      <c r="K114" s="195">
        <f t="shared" si="30"/>
        <v>61167.329999999994</v>
      </c>
      <c r="L114" s="194">
        <f t="shared" si="33"/>
        <v>-3209.8499999999913</v>
      </c>
      <c r="M114" s="191">
        <f t="shared" si="26"/>
        <v>-263.07996987103519</v>
      </c>
      <c r="N114" s="192">
        <f t="shared" si="27"/>
        <v>-3472.9299698710265</v>
      </c>
      <c r="O114" s="191">
        <v>0</v>
      </c>
      <c r="P114" s="191">
        <v>0</v>
      </c>
      <c r="Q114" s="191">
        <v>0</v>
      </c>
      <c r="R114" s="192">
        <f t="shared" si="28"/>
        <v>-3472.9299698710265</v>
      </c>
    </row>
    <row r="115" spans="1:18" s="209" customFormat="1" x14ac:dyDescent="0.25">
      <c r="A115" s="149">
        <v>12</v>
      </c>
      <c r="B115" s="207">
        <f t="shared" si="35"/>
        <v>45261</v>
      </c>
      <c r="C115" s="210">
        <f t="shared" si="32"/>
        <v>45294</v>
      </c>
      <c r="D115" s="210">
        <f t="shared" si="32"/>
        <v>45315</v>
      </c>
      <c r="E115" s="208" t="s">
        <v>19</v>
      </c>
      <c r="F115" s="160">
        <v>9</v>
      </c>
      <c r="G115" s="186">
        <v>63</v>
      </c>
      <c r="H115" s="197">
        <f t="shared" si="25"/>
        <v>970.91</v>
      </c>
      <c r="I115" s="197">
        <f t="shared" si="34"/>
        <v>919.96</v>
      </c>
      <c r="J115" s="198">
        <f t="shared" si="36"/>
        <v>57957.48</v>
      </c>
      <c r="K115" s="199">
        <f t="shared" si="30"/>
        <v>61167.329999999994</v>
      </c>
      <c r="L115" s="200">
        <f t="shared" si="33"/>
        <v>-3209.8499999999913</v>
      </c>
      <c r="M115" s="191">
        <f t="shared" si="26"/>
        <v>-263.07996987103519</v>
      </c>
      <c r="N115" s="192">
        <f t="shared" si="27"/>
        <v>-3472.9299698710265</v>
      </c>
      <c r="O115" s="191">
        <v>0</v>
      </c>
      <c r="P115" s="191">
        <v>0</v>
      </c>
      <c r="Q115" s="191">
        <v>0</v>
      </c>
      <c r="R115" s="192">
        <f t="shared" si="28"/>
        <v>-3472.9299698710265</v>
      </c>
    </row>
    <row r="116" spans="1:18" x14ac:dyDescent="0.25">
      <c r="A116" s="112">
        <v>1</v>
      </c>
      <c r="B116" s="184">
        <f t="shared" si="35"/>
        <v>44927</v>
      </c>
      <c r="C116" s="205">
        <f t="shared" si="32"/>
        <v>44960</v>
      </c>
      <c r="D116" s="205">
        <f t="shared" si="32"/>
        <v>44981</v>
      </c>
      <c r="E116" s="185" t="s">
        <v>13</v>
      </c>
      <c r="F116" s="112">
        <v>9</v>
      </c>
      <c r="G116" s="186">
        <v>967</v>
      </c>
      <c r="H116" s="187">
        <f t="shared" si="25"/>
        <v>970.91</v>
      </c>
      <c r="I116" s="187">
        <f t="shared" si="34"/>
        <v>919.96</v>
      </c>
      <c r="J116" s="188">
        <f t="shared" si="36"/>
        <v>889601.32000000007</v>
      </c>
      <c r="K116" s="189">
        <f t="shared" si="30"/>
        <v>938869.97</v>
      </c>
      <c r="L116" s="190">
        <f>+J116-K116</f>
        <v>-49268.649999999907</v>
      </c>
      <c r="M116" s="191">
        <f t="shared" si="26"/>
        <v>-4038.0687438935088</v>
      </c>
      <c r="N116" s="192">
        <f t="shared" si="27"/>
        <v>-53306.718743893412</v>
      </c>
      <c r="O116" s="191">
        <v>0</v>
      </c>
      <c r="P116" s="191">
        <v>0</v>
      </c>
      <c r="Q116" s="191">
        <v>0</v>
      </c>
      <c r="R116" s="192">
        <f t="shared" si="28"/>
        <v>-53306.718743893412</v>
      </c>
    </row>
    <row r="117" spans="1:18" x14ac:dyDescent="0.25">
      <c r="A117" s="149">
        <v>2</v>
      </c>
      <c r="B117" s="184">
        <f t="shared" si="35"/>
        <v>44958</v>
      </c>
      <c r="C117" s="205">
        <f t="shared" ref="C117:D139" si="37">+C105</f>
        <v>44988</v>
      </c>
      <c r="D117" s="205">
        <f t="shared" si="37"/>
        <v>45009</v>
      </c>
      <c r="E117" s="193" t="s">
        <v>13</v>
      </c>
      <c r="F117" s="149">
        <v>9</v>
      </c>
      <c r="G117" s="186">
        <v>955</v>
      </c>
      <c r="H117" s="187">
        <f t="shared" si="25"/>
        <v>970.91</v>
      </c>
      <c r="I117" s="187">
        <f t="shared" si="34"/>
        <v>919.96</v>
      </c>
      <c r="J117" s="188">
        <f t="shared" si="36"/>
        <v>878561.8</v>
      </c>
      <c r="K117" s="189">
        <f t="shared" si="30"/>
        <v>927219.04999999993</v>
      </c>
      <c r="L117" s="190">
        <f>+J117-K117</f>
        <v>-48657.249999999884</v>
      </c>
      <c r="M117" s="191">
        <f t="shared" si="26"/>
        <v>-3987.9582734418832</v>
      </c>
      <c r="N117" s="192">
        <f t="shared" si="27"/>
        <v>-52645.208273441764</v>
      </c>
      <c r="O117" s="191">
        <v>0</v>
      </c>
      <c r="P117" s="191">
        <v>0</v>
      </c>
      <c r="Q117" s="191">
        <v>0</v>
      </c>
      <c r="R117" s="192">
        <f t="shared" si="28"/>
        <v>-52645.208273441764</v>
      </c>
    </row>
    <row r="118" spans="1:18" x14ac:dyDescent="0.25">
      <c r="A118" s="149">
        <v>3</v>
      </c>
      <c r="B118" s="184">
        <f t="shared" si="35"/>
        <v>44986</v>
      </c>
      <c r="C118" s="205">
        <f t="shared" si="37"/>
        <v>45021</v>
      </c>
      <c r="D118" s="205">
        <f t="shared" si="37"/>
        <v>45040</v>
      </c>
      <c r="E118" s="193" t="s">
        <v>13</v>
      </c>
      <c r="F118" s="149">
        <v>9</v>
      </c>
      <c r="G118" s="186">
        <v>872</v>
      </c>
      <c r="H118" s="187">
        <f t="shared" si="25"/>
        <v>970.91</v>
      </c>
      <c r="I118" s="187">
        <f t="shared" si="34"/>
        <v>919.96</v>
      </c>
      <c r="J118" s="188">
        <f t="shared" si="36"/>
        <v>802205.12</v>
      </c>
      <c r="K118" s="189">
        <f t="shared" si="30"/>
        <v>846633.52</v>
      </c>
      <c r="L118" s="190">
        <f>+J118-K118</f>
        <v>-44428.400000000023</v>
      </c>
      <c r="M118" s="191">
        <f t="shared" si="26"/>
        <v>-3641.360852818138</v>
      </c>
      <c r="N118" s="192">
        <f t="shared" si="27"/>
        <v>-48069.760852818159</v>
      </c>
      <c r="O118" s="191">
        <v>0</v>
      </c>
      <c r="P118" s="191">
        <v>0</v>
      </c>
      <c r="Q118" s="191">
        <v>0</v>
      </c>
      <c r="R118" s="192">
        <f t="shared" si="28"/>
        <v>-48069.760852818159</v>
      </c>
    </row>
    <row r="119" spans="1:18" x14ac:dyDescent="0.25">
      <c r="A119" s="112">
        <v>4</v>
      </c>
      <c r="B119" s="184">
        <f t="shared" si="35"/>
        <v>45017</v>
      </c>
      <c r="C119" s="205">
        <f t="shared" si="37"/>
        <v>45049</v>
      </c>
      <c r="D119" s="205">
        <f t="shared" si="37"/>
        <v>45070</v>
      </c>
      <c r="E119" s="52" t="s">
        <v>13</v>
      </c>
      <c r="F119" s="149">
        <v>9</v>
      </c>
      <c r="G119" s="186">
        <v>602</v>
      </c>
      <c r="H119" s="187">
        <f t="shared" si="25"/>
        <v>970.91</v>
      </c>
      <c r="I119" s="187">
        <f t="shared" si="34"/>
        <v>919.96</v>
      </c>
      <c r="J119" s="188">
        <f t="shared" si="36"/>
        <v>553815.92000000004</v>
      </c>
      <c r="K119" s="189">
        <f t="shared" si="30"/>
        <v>584487.81999999995</v>
      </c>
      <c r="L119" s="190">
        <f t="shared" ref="L119:L127" si="38">+J119-K119</f>
        <v>-30671.899999999907</v>
      </c>
      <c r="M119" s="191">
        <f t="shared" si="26"/>
        <v>-2513.8752676565587</v>
      </c>
      <c r="N119" s="192">
        <f t="shared" si="27"/>
        <v>-33185.775267656463</v>
      </c>
      <c r="O119" s="191">
        <v>0</v>
      </c>
      <c r="P119" s="191">
        <v>0</v>
      </c>
      <c r="Q119" s="191">
        <v>0</v>
      </c>
      <c r="R119" s="192">
        <f t="shared" si="28"/>
        <v>-33185.775267656463</v>
      </c>
    </row>
    <row r="120" spans="1:18" x14ac:dyDescent="0.25">
      <c r="A120" s="149">
        <v>5</v>
      </c>
      <c r="B120" s="184">
        <f t="shared" si="35"/>
        <v>45047</v>
      </c>
      <c r="C120" s="205">
        <f t="shared" si="37"/>
        <v>45082</v>
      </c>
      <c r="D120" s="205">
        <f t="shared" si="37"/>
        <v>45103</v>
      </c>
      <c r="E120" s="52" t="s">
        <v>13</v>
      </c>
      <c r="F120" s="149">
        <v>9</v>
      </c>
      <c r="G120" s="186">
        <v>711</v>
      </c>
      <c r="H120" s="187">
        <f t="shared" si="25"/>
        <v>970.91</v>
      </c>
      <c r="I120" s="187">
        <f t="shared" si="34"/>
        <v>919.96</v>
      </c>
      <c r="J120" s="188">
        <f t="shared" si="36"/>
        <v>654091.56000000006</v>
      </c>
      <c r="K120" s="189">
        <f t="shared" si="30"/>
        <v>690317.01</v>
      </c>
      <c r="L120" s="190">
        <f t="shared" si="38"/>
        <v>-36225.449999999953</v>
      </c>
      <c r="M120" s="191">
        <f t="shared" si="26"/>
        <v>-2969.0453742588261</v>
      </c>
      <c r="N120" s="192">
        <f t="shared" si="27"/>
        <v>-39194.495374258782</v>
      </c>
      <c r="O120" s="191">
        <v>0</v>
      </c>
      <c r="P120" s="191">
        <v>0</v>
      </c>
      <c r="Q120" s="191">
        <v>0</v>
      </c>
      <c r="R120" s="192">
        <f t="shared" si="28"/>
        <v>-39194.495374258782</v>
      </c>
    </row>
    <row r="121" spans="1:18" x14ac:dyDescent="0.25">
      <c r="A121" s="149">
        <v>6</v>
      </c>
      <c r="B121" s="184">
        <f t="shared" si="35"/>
        <v>45078</v>
      </c>
      <c r="C121" s="205">
        <f t="shared" si="37"/>
        <v>45112</v>
      </c>
      <c r="D121" s="205">
        <f t="shared" si="37"/>
        <v>45131</v>
      </c>
      <c r="E121" s="52" t="s">
        <v>13</v>
      </c>
      <c r="F121" s="149">
        <v>9</v>
      </c>
      <c r="G121" s="186">
        <v>936</v>
      </c>
      <c r="H121" s="187">
        <f t="shared" si="25"/>
        <v>970.91</v>
      </c>
      <c r="I121" s="187">
        <f t="shared" si="34"/>
        <v>919.96</v>
      </c>
      <c r="J121" s="188">
        <f t="shared" si="36"/>
        <v>861082.56</v>
      </c>
      <c r="K121" s="189">
        <f t="shared" si="30"/>
        <v>908771.76</v>
      </c>
      <c r="L121" s="194">
        <f t="shared" si="38"/>
        <v>-47689.199999999953</v>
      </c>
      <c r="M121" s="191">
        <f t="shared" si="26"/>
        <v>-3908.616695226809</v>
      </c>
      <c r="N121" s="192">
        <f t="shared" si="27"/>
        <v>-51597.816695226764</v>
      </c>
      <c r="O121" s="191">
        <v>0</v>
      </c>
      <c r="P121" s="191">
        <v>0</v>
      </c>
      <c r="Q121" s="191">
        <v>0</v>
      </c>
      <c r="R121" s="192">
        <f t="shared" si="28"/>
        <v>-51597.816695226764</v>
      </c>
    </row>
    <row r="122" spans="1:18" x14ac:dyDescent="0.25">
      <c r="A122" s="112">
        <v>7</v>
      </c>
      <c r="B122" s="184">
        <f t="shared" si="35"/>
        <v>45108</v>
      </c>
      <c r="C122" s="205">
        <f t="shared" si="37"/>
        <v>45141</v>
      </c>
      <c r="D122" s="205">
        <f t="shared" si="37"/>
        <v>45162</v>
      </c>
      <c r="E122" s="52" t="s">
        <v>13</v>
      </c>
      <c r="F122" s="149">
        <v>9</v>
      </c>
      <c r="G122" s="186">
        <v>932</v>
      </c>
      <c r="H122" s="187">
        <f t="shared" si="25"/>
        <v>970.91</v>
      </c>
      <c r="I122" s="187">
        <f t="shared" si="34"/>
        <v>919.96</v>
      </c>
      <c r="J122" s="188">
        <f t="shared" si="36"/>
        <v>857402.72000000009</v>
      </c>
      <c r="K122" s="195">
        <f t="shared" si="30"/>
        <v>904888.12</v>
      </c>
      <c r="L122" s="194">
        <f t="shared" si="38"/>
        <v>-47485.399999999907</v>
      </c>
      <c r="M122" s="191">
        <f t="shared" si="26"/>
        <v>-3891.9132050762673</v>
      </c>
      <c r="N122" s="192">
        <f t="shared" si="27"/>
        <v>-51377.313205076178</v>
      </c>
      <c r="O122" s="191">
        <v>0</v>
      </c>
      <c r="P122" s="191">
        <v>0</v>
      </c>
      <c r="Q122" s="191">
        <v>0</v>
      </c>
      <c r="R122" s="192">
        <f t="shared" si="28"/>
        <v>-51377.313205076178</v>
      </c>
    </row>
    <row r="123" spans="1:18" x14ac:dyDescent="0.25">
      <c r="A123" s="149">
        <v>8</v>
      </c>
      <c r="B123" s="184">
        <f t="shared" si="35"/>
        <v>45139</v>
      </c>
      <c r="C123" s="205">
        <f t="shared" si="37"/>
        <v>45174</v>
      </c>
      <c r="D123" s="205">
        <f t="shared" si="37"/>
        <v>45194</v>
      </c>
      <c r="E123" s="52" t="s">
        <v>13</v>
      </c>
      <c r="F123" s="149">
        <v>9</v>
      </c>
      <c r="G123" s="186">
        <v>1025</v>
      </c>
      <c r="H123" s="187">
        <f t="shared" si="25"/>
        <v>970.91</v>
      </c>
      <c r="I123" s="187">
        <f t="shared" si="34"/>
        <v>919.96</v>
      </c>
      <c r="J123" s="188">
        <f t="shared" si="36"/>
        <v>942959</v>
      </c>
      <c r="K123" s="195">
        <f t="shared" si="30"/>
        <v>995182.75</v>
      </c>
      <c r="L123" s="194">
        <f t="shared" si="38"/>
        <v>-52223.75</v>
      </c>
      <c r="M123" s="191">
        <f t="shared" si="26"/>
        <v>-4280.2693510763665</v>
      </c>
      <c r="N123" s="192">
        <f t="shared" si="27"/>
        <v>-56504.019351076364</v>
      </c>
      <c r="O123" s="191">
        <v>0</v>
      </c>
      <c r="P123" s="191">
        <v>0</v>
      </c>
      <c r="Q123" s="191">
        <v>0</v>
      </c>
      <c r="R123" s="192">
        <f t="shared" si="28"/>
        <v>-56504.019351076364</v>
      </c>
    </row>
    <row r="124" spans="1:18" x14ac:dyDescent="0.25">
      <c r="A124" s="149">
        <v>9</v>
      </c>
      <c r="B124" s="184">
        <f t="shared" si="35"/>
        <v>45170</v>
      </c>
      <c r="C124" s="205">
        <f t="shared" si="37"/>
        <v>45203</v>
      </c>
      <c r="D124" s="205">
        <f t="shared" si="37"/>
        <v>45223</v>
      </c>
      <c r="E124" s="52" t="s">
        <v>13</v>
      </c>
      <c r="F124" s="149">
        <v>9</v>
      </c>
      <c r="G124" s="186">
        <v>934</v>
      </c>
      <c r="H124" s="187">
        <f t="shared" si="25"/>
        <v>970.91</v>
      </c>
      <c r="I124" s="187">
        <f t="shared" si="34"/>
        <v>919.96</v>
      </c>
      <c r="J124" s="188">
        <f t="shared" si="36"/>
        <v>859242.64</v>
      </c>
      <c r="K124" s="195">
        <f t="shared" si="30"/>
        <v>906829.94</v>
      </c>
      <c r="L124" s="194">
        <f t="shared" si="38"/>
        <v>-47587.29999999993</v>
      </c>
      <c r="M124" s="191">
        <f t="shared" si="26"/>
        <v>-3900.264950151538</v>
      </c>
      <c r="N124" s="192">
        <f t="shared" si="27"/>
        <v>-51487.564950151471</v>
      </c>
      <c r="O124" s="191">
        <v>0</v>
      </c>
      <c r="P124" s="191">
        <v>0</v>
      </c>
      <c r="Q124" s="191">
        <v>0</v>
      </c>
      <c r="R124" s="192">
        <f t="shared" si="28"/>
        <v>-51487.564950151471</v>
      </c>
    </row>
    <row r="125" spans="1:18" x14ac:dyDescent="0.25">
      <c r="A125" s="112">
        <v>10</v>
      </c>
      <c r="B125" s="184">
        <f t="shared" si="35"/>
        <v>45200</v>
      </c>
      <c r="C125" s="205">
        <f t="shared" si="37"/>
        <v>45233</v>
      </c>
      <c r="D125" s="205">
        <f t="shared" si="37"/>
        <v>45254</v>
      </c>
      <c r="E125" s="52" t="s">
        <v>13</v>
      </c>
      <c r="F125" s="149">
        <v>9</v>
      </c>
      <c r="G125" s="186">
        <v>700</v>
      </c>
      <c r="H125" s="187">
        <f t="shared" si="25"/>
        <v>970.91</v>
      </c>
      <c r="I125" s="187">
        <f t="shared" si="34"/>
        <v>919.96</v>
      </c>
      <c r="J125" s="188">
        <f t="shared" si="36"/>
        <v>643972</v>
      </c>
      <c r="K125" s="195">
        <f t="shared" si="30"/>
        <v>679637</v>
      </c>
      <c r="L125" s="194">
        <f t="shared" si="38"/>
        <v>-35665</v>
      </c>
      <c r="M125" s="191">
        <f t="shared" si="26"/>
        <v>-2923.1107763448358</v>
      </c>
      <c r="N125" s="192">
        <f t="shared" si="27"/>
        <v>-38588.110776344838</v>
      </c>
      <c r="O125" s="191">
        <v>0</v>
      </c>
      <c r="P125" s="191">
        <v>0</v>
      </c>
      <c r="Q125" s="191">
        <v>0</v>
      </c>
      <c r="R125" s="192">
        <f t="shared" si="28"/>
        <v>-38588.110776344838</v>
      </c>
    </row>
    <row r="126" spans="1:18" x14ac:dyDescent="0.25">
      <c r="A126" s="149">
        <v>11</v>
      </c>
      <c r="B126" s="184">
        <f t="shared" si="35"/>
        <v>45231</v>
      </c>
      <c r="C126" s="205">
        <f t="shared" si="37"/>
        <v>45265</v>
      </c>
      <c r="D126" s="205">
        <f t="shared" si="37"/>
        <v>45285</v>
      </c>
      <c r="E126" s="52" t="s">
        <v>13</v>
      </c>
      <c r="F126" s="149">
        <v>9</v>
      </c>
      <c r="G126" s="186">
        <v>867</v>
      </c>
      <c r="H126" s="187">
        <f t="shared" si="25"/>
        <v>970.91</v>
      </c>
      <c r="I126" s="187">
        <f t="shared" si="34"/>
        <v>919.96</v>
      </c>
      <c r="J126" s="188">
        <f t="shared" si="36"/>
        <v>797605.32000000007</v>
      </c>
      <c r="K126" s="195">
        <f t="shared" si="30"/>
        <v>841778.97</v>
      </c>
      <c r="L126" s="194">
        <f t="shared" si="38"/>
        <v>-44173.649999999907</v>
      </c>
      <c r="M126" s="191">
        <f t="shared" si="26"/>
        <v>-3620.481490129961</v>
      </c>
      <c r="N126" s="192">
        <f t="shared" si="27"/>
        <v>-47794.131490129868</v>
      </c>
      <c r="O126" s="191">
        <v>0</v>
      </c>
      <c r="P126" s="191">
        <v>0</v>
      </c>
      <c r="Q126" s="191">
        <v>0</v>
      </c>
      <c r="R126" s="192">
        <f t="shared" si="28"/>
        <v>-47794.131490129868</v>
      </c>
    </row>
    <row r="127" spans="1:18" s="209" customFormat="1" x14ac:dyDescent="0.25">
      <c r="A127" s="149">
        <v>12</v>
      </c>
      <c r="B127" s="207">
        <f t="shared" si="35"/>
        <v>45261</v>
      </c>
      <c r="C127" s="210">
        <f t="shared" si="37"/>
        <v>45294</v>
      </c>
      <c r="D127" s="210">
        <f t="shared" si="37"/>
        <v>45315</v>
      </c>
      <c r="E127" s="208" t="s">
        <v>13</v>
      </c>
      <c r="F127" s="160">
        <v>9</v>
      </c>
      <c r="G127" s="186">
        <v>916</v>
      </c>
      <c r="H127" s="197">
        <f t="shared" si="25"/>
        <v>970.91</v>
      </c>
      <c r="I127" s="197">
        <f t="shared" si="34"/>
        <v>919.96</v>
      </c>
      <c r="J127" s="198">
        <f t="shared" si="36"/>
        <v>842683.36</v>
      </c>
      <c r="K127" s="199">
        <f t="shared" si="30"/>
        <v>889353.55999999994</v>
      </c>
      <c r="L127" s="200">
        <f t="shared" si="38"/>
        <v>-46670.199999999953</v>
      </c>
      <c r="M127" s="191">
        <f t="shared" si="26"/>
        <v>-3825.0992444740996</v>
      </c>
      <c r="N127" s="192">
        <f t="shared" si="27"/>
        <v>-50495.299244474052</v>
      </c>
      <c r="O127" s="191">
        <v>0</v>
      </c>
      <c r="P127" s="191">
        <v>0</v>
      </c>
      <c r="Q127" s="191">
        <v>0</v>
      </c>
      <c r="R127" s="192">
        <f t="shared" si="28"/>
        <v>-50495.299244474052</v>
      </c>
    </row>
    <row r="128" spans="1:18" x14ac:dyDescent="0.25">
      <c r="A128" s="112">
        <v>1</v>
      </c>
      <c r="B128" s="184">
        <f t="shared" si="35"/>
        <v>44927</v>
      </c>
      <c r="C128" s="205">
        <f t="shared" si="37"/>
        <v>44960</v>
      </c>
      <c r="D128" s="205">
        <f t="shared" si="37"/>
        <v>44981</v>
      </c>
      <c r="E128" s="185" t="s">
        <v>15</v>
      </c>
      <c r="F128" s="112">
        <v>9</v>
      </c>
      <c r="G128" s="186">
        <v>6</v>
      </c>
      <c r="H128" s="187">
        <f t="shared" si="25"/>
        <v>970.91</v>
      </c>
      <c r="I128" s="187">
        <f t="shared" ref="I128:I147" si="39">$J$3</f>
        <v>919.96</v>
      </c>
      <c r="J128" s="188">
        <f t="shared" si="36"/>
        <v>5519.76</v>
      </c>
      <c r="K128" s="189">
        <f t="shared" si="30"/>
        <v>5825.46</v>
      </c>
      <c r="L128" s="190">
        <f>+J128-K128</f>
        <v>-305.69999999999982</v>
      </c>
      <c r="M128" s="191">
        <f t="shared" si="26"/>
        <v>-25.055235225812876</v>
      </c>
      <c r="N128" s="192">
        <f t="shared" si="27"/>
        <v>-330.75523522581267</v>
      </c>
      <c r="O128" s="191">
        <v>0</v>
      </c>
      <c r="P128" s="191">
        <v>0</v>
      </c>
      <c r="Q128" s="191">
        <v>0</v>
      </c>
      <c r="R128" s="192">
        <f t="shared" si="28"/>
        <v>-330.75523522581267</v>
      </c>
    </row>
    <row r="129" spans="1:18" x14ac:dyDescent="0.25">
      <c r="A129" s="149">
        <v>2</v>
      </c>
      <c r="B129" s="184">
        <f t="shared" si="35"/>
        <v>44958</v>
      </c>
      <c r="C129" s="205">
        <f t="shared" si="37"/>
        <v>44988</v>
      </c>
      <c r="D129" s="205">
        <f t="shared" si="37"/>
        <v>45009</v>
      </c>
      <c r="E129" s="193" t="s">
        <v>15</v>
      </c>
      <c r="F129" s="149">
        <v>9</v>
      </c>
      <c r="G129" s="186">
        <v>5</v>
      </c>
      <c r="H129" s="187">
        <f t="shared" si="25"/>
        <v>970.91</v>
      </c>
      <c r="I129" s="187">
        <f t="shared" si="39"/>
        <v>919.96</v>
      </c>
      <c r="J129" s="188">
        <f t="shared" si="36"/>
        <v>4599.8</v>
      </c>
      <c r="K129" s="189">
        <f t="shared" si="30"/>
        <v>4854.55</v>
      </c>
      <c r="L129" s="190">
        <f>+J129-K129</f>
        <v>-254.75</v>
      </c>
      <c r="M129" s="191">
        <f t="shared" si="26"/>
        <v>-20.879362688177398</v>
      </c>
      <c r="N129" s="192">
        <f t="shared" si="27"/>
        <v>-275.62936268817742</v>
      </c>
      <c r="O129" s="191">
        <v>0</v>
      </c>
      <c r="P129" s="191">
        <v>0</v>
      </c>
      <c r="Q129" s="191">
        <v>0</v>
      </c>
      <c r="R129" s="192">
        <f t="shared" si="28"/>
        <v>-275.62936268817742</v>
      </c>
    </row>
    <row r="130" spans="1:18" x14ac:dyDescent="0.25">
      <c r="A130" s="149">
        <v>3</v>
      </c>
      <c r="B130" s="184">
        <f t="shared" si="35"/>
        <v>44986</v>
      </c>
      <c r="C130" s="205">
        <f t="shared" si="37"/>
        <v>45021</v>
      </c>
      <c r="D130" s="205">
        <f t="shared" si="37"/>
        <v>45040</v>
      </c>
      <c r="E130" s="193" t="s">
        <v>15</v>
      </c>
      <c r="F130" s="149">
        <v>9</v>
      </c>
      <c r="G130" s="186">
        <v>5</v>
      </c>
      <c r="H130" s="187">
        <f t="shared" si="25"/>
        <v>970.91</v>
      </c>
      <c r="I130" s="187">
        <f t="shared" si="39"/>
        <v>919.96</v>
      </c>
      <c r="J130" s="188">
        <f t="shared" si="36"/>
        <v>4599.8</v>
      </c>
      <c r="K130" s="189">
        <f t="shared" si="30"/>
        <v>4854.55</v>
      </c>
      <c r="L130" s="190">
        <f>+J130-K130</f>
        <v>-254.75</v>
      </c>
      <c r="M130" s="191">
        <f t="shared" si="26"/>
        <v>-20.879362688177398</v>
      </c>
      <c r="N130" s="192">
        <f t="shared" si="27"/>
        <v>-275.62936268817742</v>
      </c>
      <c r="O130" s="191">
        <v>0</v>
      </c>
      <c r="P130" s="191">
        <v>0</v>
      </c>
      <c r="Q130" s="191">
        <v>0</v>
      </c>
      <c r="R130" s="192">
        <f t="shared" si="28"/>
        <v>-275.62936268817742</v>
      </c>
    </row>
    <row r="131" spans="1:18" x14ac:dyDescent="0.25">
      <c r="A131" s="112">
        <v>4</v>
      </c>
      <c r="B131" s="184">
        <f t="shared" si="35"/>
        <v>45017</v>
      </c>
      <c r="C131" s="205">
        <f t="shared" si="37"/>
        <v>45049</v>
      </c>
      <c r="D131" s="205">
        <f t="shared" si="37"/>
        <v>45070</v>
      </c>
      <c r="E131" s="193" t="s">
        <v>15</v>
      </c>
      <c r="F131" s="149">
        <v>9</v>
      </c>
      <c r="G131" s="186">
        <v>7</v>
      </c>
      <c r="H131" s="187">
        <f t="shared" si="25"/>
        <v>970.91</v>
      </c>
      <c r="I131" s="187">
        <f t="shared" si="39"/>
        <v>919.96</v>
      </c>
      <c r="J131" s="188">
        <f t="shared" si="36"/>
        <v>6439.72</v>
      </c>
      <c r="K131" s="189">
        <f t="shared" si="30"/>
        <v>6796.37</v>
      </c>
      <c r="L131" s="190">
        <f t="shared" ref="L131:L141" si="40">+J131-K131</f>
        <v>-356.64999999999964</v>
      </c>
      <c r="M131" s="191">
        <f t="shared" si="26"/>
        <v>-29.231107763448357</v>
      </c>
      <c r="N131" s="192">
        <f t="shared" si="27"/>
        <v>-385.88110776344797</v>
      </c>
      <c r="O131" s="191">
        <v>0</v>
      </c>
      <c r="P131" s="191">
        <v>0</v>
      </c>
      <c r="Q131" s="191">
        <v>0</v>
      </c>
      <c r="R131" s="192">
        <f t="shared" si="28"/>
        <v>-385.88110776344797</v>
      </c>
    </row>
    <row r="132" spans="1:18" x14ac:dyDescent="0.25">
      <c r="A132" s="149">
        <v>5</v>
      </c>
      <c r="B132" s="184">
        <f t="shared" si="35"/>
        <v>45047</v>
      </c>
      <c r="C132" s="205">
        <f t="shared" si="37"/>
        <v>45082</v>
      </c>
      <c r="D132" s="205">
        <f t="shared" si="37"/>
        <v>45103</v>
      </c>
      <c r="E132" s="52" t="s">
        <v>15</v>
      </c>
      <c r="F132" s="149">
        <v>9</v>
      </c>
      <c r="G132" s="186">
        <v>4</v>
      </c>
      <c r="H132" s="187">
        <f t="shared" si="25"/>
        <v>970.91</v>
      </c>
      <c r="I132" s="187">
        <f t="shared" si="39"/>
        <v>919.96</v>
      </c>
      <c r="J132" s="188">
        <f t="shared" si="36"/>
        <v>3679.84</v>
      </c>
      <c r="K132" s="189">
        <f t="shared" si="30"/>
        <v>3883.64</v>
      </c>
      <c r="L132" s="190">
        <f t="shared" si="40"/>
        <v>-203.79999999999973</v>
      </c>
      <c r="M132" s="191">
        <f t="shared" si="26"/>
        <v>-16.703490150541917</v>
      </c>
      <c r="N132" s="192">
        <f t="shared" si="27"/>
        <v>-220.50349015054164</v>
      </c>
      <c r="O132" s="191">
        <v>0</v>
      </c>
      <c r="P132" s="191">
        <v>0</v>
      </c>
      <c r="Q132" s="191">
        <v>0</v>
      </c>
      <c r="R132" s="192">
        <f t="shared" si="28"/>
        <v>-220.50349015054164</v>
      </c>
    </row>
    <row r="133" spans="1:18" x14ac:dyDescent="0.25">
      <c r="A133" s="149">
        <v>6</v>
      </c>
      <c r="B133" s="184">
        <f t="shared" si="35"/>
        <v>45078</v>
      </c>
      <c r="C133" s="205">
        <f t="shared" si="37"/>
        <v>45112</v>
      </c>
      <c r="D133" s="205">
        <f t="shared" si="37"/>
        <v>45131</v>
      </c>
      <c r="E133" s="52" t="s">
        <v>15</v>
      </c>
      <c r="F133" s="149">
        <v>9</v>
      </c>
      <c r="G133" s="186">
        <v>14</v>
      </c>
      <c r="H133" s="187">
        <f t="shared" si="25"/>
        <v>970.91</v>
      </c>
      <c r="I133" s="187">
        <f t="shared" si="39"/>
        <v>919.96</v>
      </c>
      <c r="J133" s="188">
        <f t="shared" si="36"/>
        <v>12879.44</v>
      </c>
      <c r="K133" s="189">
        <f t="shared" si="30"/>
        <v>13592.74</v>
      </c>
      <c r="L133" s="194">
        <f t="shared" si="40"/>
        <v>-713.29999999999927</v>
      </c>
      <c r="M133" s="191">
        <f t="shared" si="26"/>
        <v>-58.462215526896713</v>
      </c>
      <c r="N133" s="192">
        <f t="shared" si="27"/>
        <v>-771.76221552689594</v>
      </c>
      <c r="O133" s="191">
        <v>0</v>
      </c>
      <c r="P133" s="191">
        <v>0</v>
      </c>
      <c r="Q133" s="191">
        <v>0</v>
      </c>
      <c r="R133" s="192">
        <f t="shared" si="28"/>
        <v>-771.76221552689594</v>
      </c>
    </row>
    <row r="134" spans="1:18" x14ac:dyDescent="0.25">
      <c r="A134" s="112">
        <v>7</v>
      </c>
      <c r="B134" s="184">
        <f t="shared" si="35"/>
        <v>45108</v>
      </c>
      <c r="C134" s="205">
        <f t="shared" si="37"/>
        <v>45141</v>
      </c>
      <c r="D134" s="205">
        <f t="shared" si="37"/>
        <v>45162</v>
      </c>
      <c r="E134" s="52" t="s">
        <v>15</v>
      </c>
      <c r="F134" s="149">
        <v>9</v>
      </c>
      <c r="G134" s="186">
        <v>13</v>
      </c>
      <c r="H134" s="187">
        <f t="shared" si="25"/>
        <v>970.91</v>
      </c>
      <c r="I134" s="187">
        <f t="shared" si="39"/>
        <v>919.96</v>
      </c>
      <c r="J134" s="188">
        <f t="shared" si="36"/>
        <v>11959.48</v>
      </c>
      <c r="K134" s="195">
        <f t="shared" ref="K134:K197" si="41">+$G134*H134</f>
        <v>12621.83</v>
      </c>
      <c r="L134" s="194">
        <f t="shared" si="40"/>
        <v>-662.35000000000036</v>
      </c>
      <c r="M134" s="191">
        <f t="shared" si="26"/>
        <v>-54.286342989261229</v>
      </c>
      <c r="N134" s="192">
        <f t="shared" si="27"/>
        <v>-716.63634298926161</v>
      </c>
      <c r="O134" s="191">
        <v>0</v>
      </c>
      <c r="P134" s="191">
        <v>0</v>
      </c>
      <c r="Q134" s="191">
        <v>0</v>
      </c>
      <c r="R134" s="192">
        <f t="shared" si="28"/>
        <v>-716.63634298926161</v>
      </c>
    </row>
    <row r="135" spans="1:18" x14ac:dyDescent="0.25">
      <c r="A135" s="149">
        <v>8</v>
      </c>
      <c r="B135" s="184">
        <f t="shared" si="35"/>
        <v>45139</v>
      </c>
      <c r="C135" s="205">
        <f t="shared" si="37"/>
        <v>45174</v>
      </c>
      <c r="D135" s="205">
        <f t="shared" si="37"/>
        <v>45194</v>
      </c>
      <c r="E135" s="52" t="s">
        <v>15</v>
      </c>
      <c r="F135" s="149">
        <v>9</v>
      </c>
      <c r="G135" s="186">
        <v>19</v>
      </c>
      <c r="H135" s="187">
        <f t="shared" si="25"/>
        <v>970.91</v>
      </c>
      <c r="I135" s="187">
        <f t="shared" si="39"/>
        <v>919.96</v>
      </c>
      <c r="J135" s="188">
        <f t="shared" si="36"/>
        <v>17479.240000000002</v>
      </c>
      <c r="K135" s="195">
        <f t="shared" si="41"/>
        <v>18447.29</v>
      </c>
      <c r="L135" s="194">
        <f t="shared" si="40"/>
        <v>-968.04999999999927</v>
      </c>
      <c r="M135" s="191">
        <f t="shared" si="26"/>
        <v>-79.341578215074122</v>
      </c>
      <c r="N135" s="192">
        <f t="shared" si="27"/>
        <v>-1047.3915782150734</v>
      </c>
      <c r="O135" s="191">
        <v>0</v>
      </c>
      <c r="P135" s="191">
        <v>0</v>
      </c>
      <c r="Q135" s="191">
        <v>0</v>
      </c>
      <c r="R135" s="192">
        <f t="shared" si="28"/>
        <v>-1047.3915782150734</v>
      </c>
    </row>
    <row r="136" spans="1:18" x14ac:dyDescent="0.25">
      <c r="A136" s="149">
        <v>9</v>
      </c>
      <c r="B136" s="184">
        <f t="shared" si="35"/>
        <v>45170</v>
      </c>
      <c r="C136" s="205">
        <f t="shared" si="37"/>
        <v>45203</v>
      </c>
      <c r="D136" s="205">
        <f t="shared" si="37"/>
        <v>45223</v>
      </c>
      <c r="E136" s="52" t="s">
        <v>15</v>
      </c>
      <c r="F136" s="149">
        <v>9</v>
      </c>
      <c r="G136" s="186">
        <v>18</v>
      </c>
      <c r="H136" s="187">
        <f t="shared" si="25"/>
        <v>970.91</v>
      </c>
      <c r="I136" s="187">
        <f t="shared" si="39"/>
        <v>919.96</v>
      </c>
      <c r="J136" s="188">
        <f t="shared" si="36"/>
        <v>16559.28</v>
      </c>
      <c r="K136" s="195">
        <f t="shared" si="41"/>
        <v>17476.38</v>
      </c>
      <c r="L136" s="194">
        <f t="shared" si="40"/>
        <v>-917.10000000000218</v>
      </c>
      <c r="M136" s="191">
        <f t="shared" si="26"/>
        <v>-75.165705677438623</v>
      </c>
      <c r="N136" s="192">
        <f t="shared" si="27"/>
        <v>-992.26570567744079</v>
      </c>
      <c r="O136" s="191">
        <v>0</v>
      </c>
      <c r="P136" s="191">
        <v>0</v>
      </c>
      <c r="Q136" s="191">
        <v>0</v>
      </c>
      <c r="R136" s="192">
        <f t="shared" si="28"/>
        <v>-992.26570567744079</v>
      </c>
    </row>
    <row r="137" spans="1:18" x14ac:dyDescent="0.25">
      <c r="A137" s="112">
        <v>10</v>
      </c>
      <c r="B137" s="184">
        <f t="shared" si="35"/>
        <v>45200</v>
      </c>
      <c r="C137" s="205">
        <f t="shared" si="37"/>
        <v>45233</v>
      </c>
      <c r="D137" s="205">
        <f t="shared" si="37"/>
        <v>45254</v>
      </c>
      <c r="E137" s="52" t="s">
        <v>15</v>
      </c>
      <c r="F137" s="149">
        <v>9</v>
      </c>
      <c r="G137" s="186">
        <v>6</v>
      </c>
      <c r="H137" s="187">
        <f t="shared" si="25"/>
        <v>970.91</v>
      </c>
      <c r="I137" s="187">
        <f t="shared" si="39"/>
        <v>919.96</v>
      </c>
      <c r="J137" s="188">
        <f t="shared" si="36"/>
        <v>5519.76</v>
      </c>
      <c r="K137" s="195">
        <f t="shared" si="41"/>
        <v>5825.46</v>
      </c>
      <c r="L137" s="194">
        <f t="shared" si="40"/>
        <v>-305.69999999999982</v>
      </c>
      <c r="M137" s="191">
        <f t="shared" si="26"/>
        <v>-25.055235225812876</v>
      </c>
      <c r="N137" s="192">
        <f t="shared" si="27"/>
        <v>-330.75523522581267</v>
      </c>
      <c r="O137" s="191">
        <v>0</v>
      </c>
      <c r="P137" s="191">
        <v>0</v>
      </c>
      <c r="Q137" s="191">
        <v>0</v>
      </c>
      <c r="R137" s="192">
        <f t="shared" si="28"/>
        <v>-330.75523522581267</v>
      </c>
    </row>
    <row r="138" spans="1:18" x14ac:dyDescent="0.25">
      <c r="A138" s="149">
        <v>11</v>
      </c>
      <c r="B138" s="184">
        <f t="shared" si="35"/>
        <v>45231</v>
      </c>
      <c r="C138" s="205">
        <f t="shared" si="37"/>
        <v>45265</v>
      </c>
      <c r="D138" s="205">
        <f t="shared" si="37"/>
        <v>45285</v>
      </c>
      <c r="E138" s="52" t="s">
        <v>15</v>
      </c>
      <c r="F138" s="149">
        <v>9</v>
      </c>
      <c r="G138" s="186">
        <v>6</v>
      </c>
      <c r="H138" s="187">
        <f t="shared" si="25"/>
        <v>970.91</v>
      </c>
      <c r="I138" s="187">
        <f t="shared" si="39"/>
        <v>919.96</v>
      </c>
      <c r="J138" s="188">
        <f t="shared" si="36"/>
        <v>5519.76</v>
      </c>
      <c r="K138" s="195">
        <f t="shared" si="41"/>
        <v>5825.46</v>
      </c>
      <c r="L138" s="194">
        <f t="shared" si="40"/>
        <v>-305.69999999999982</v>
      </c>
      <c r="M138" s="191">
        <f t="shared" si="26"/>
        <v>-25.055235225812876</v>
      </c>
      <c r="N138" s="192">
        <f t="shared" si="27"/>
        <v>-330.75523522581267</v>
      </c>
      <c r="O138" s="191">
        <v>0</v>
      </c>
      <c r="P138" s="191">
        <v>0</v>
      </c>
      <c r="Q138" s="191">
        <v>0</v>
      </c>
      <c r="R138" s="192">
        <f t="shared" si="28"/>
        <v>-330.75523522581267</v>
      </c>
    </row>
    <row r="139" spans="1:18" s="209" customFormat="1" x14ac:dyDescent="0.25">
      <c r="A139" s="149">
        <v>12</v>
      </c>
      <c r="B139" s="207">
        <f t="shared" si="35"/>
        <v>45261</v>
      </c>
      <c r="C139" s="205">
        <f t="shared" si="37"/>
        <v>45294</v>
      </c>
      <c r="D139" s="205">
        <f t="shared" si="37"/>
        <v>45315</v>
      </c>
      <c r="E139" s="208" t="s">
        <v>15</v>
      </c>
      <c r="F139" s="160">
        <v>9</v>
      </c>
      <c r="G139" s="186">
        <v>5</v>
      </c>
      <c r="H139" s="197">
        <f t="shared" si="25"/>
        <v>970.91</v>
      </c>
      <c r="I139" s="197">
        <f t="shared" si="39"/>
        <v>919.96</v>
      </c>
      <c r="J139" s="198">
        <f t="shared" si="36"/>
        <v>4599.8</v>
      </c>
      <c r="K139" s="199">
        <f t="shared" si="41"/>
        <v>4854.55</v>
      </c>
      <c r="L139" s="200">
        <f t="shared" si="40"/>
        <v>-254.75</v>
      </c>
      <c r="M139" s="191">
        <f t="shared" si="26"/>
        <v>-20.879362688177398</v>
      </c>
      <c r="N139" s="192">
        <f t="shared" si="27"/>
        <v>-275.62936268817742</v>
      </c>
      <c r="O139" s="191">
        <v>0</v>
      </c>
      <c r="P139" s="191">
        <v>0</v>
      </c>
      <c r="Q139" s="191">
        <v>0</v>
      </c>
      <c r="R139" s="192">
        <f t="shared" si="28"/>
        <v>-275.62936268817742</v>
      </c>
    </row>
    <row r="140" spans="1:18" x14ac:dyDescent="0.25">
      <c r="A140" s="112">
        <v>1</v>
      </c>
      <c r="B140" s="184">
        <f t="shared" si="35"/>
        <v>44927</v>
      </c>
      <c r="C140" s="202">
        <f t="shared" ref="C140:D151" si="42">+C128</f>
        <v>44960</v>
      </c>
      <c r="D140" s="202">
        <f t="shared" si="42"/>
        <v>44981</v>
      </c>
      <c r="E140" s="212" t="s">
        <v>16</v>
      </c>
      <c r="F140" s="149">
        <v>9</v>
      </c>
      <c r="G140" s="186">
        <v>4</v>
      </c>
      <c r="H140" s="187">
        <f t="shared" si="25"/>
        <v>970.91</v>
      </c>
      <c r="I140" s="187">
        <f t="shared" si="39"/>
        <v>919.96</v>
      </c>
      <c r="J140" s="188">
        <f t="shared" si="36"/>
        <v>3679.84</v>
      </c>
      <c r="K140" s="189">
        <f t="shared" si="41"/>
        <v>3883.64</v>
      </c>
      <c r="L140" s="190">
        <f t="shared" si="40"/>
        <v>-203.79999999999973</v>
      </c>
      <c r="M140" s="191">
        <f t="shared" si="26"/>
        <v>-16.703490150541917</v>
      </c>
      <c r="N140" s="192">
        <f t="shared" si="27"/>
        <v>-220.50349015054164</v>
      </c>
      <c r="O140" s="191">
        <v>0</v>
      </c>
      <c r="P140" s="191">
        <v>0</v>
      </c>
      <c r="Q140" s="191">
        <v>0</v>
      </c>
      <c r="R140" s="192">
        <f t="shared" si="28"/>
        <v>-220.50349015054164</v>
      </c>
    </row>
    <row r="141" spans="1:18" x14ac:dyDescent="0.25">
      <c r="A141" s="149">
        <v>2</v>
      </c>
      <c r="B141" s="184">
        <f t="shared" si="35"/>
        <v>44958</v>
      </c>
      <c r="C141" s="205">
        <f t="shared" si="42"/>
        <v>44988</v>
      </c>
      <c r="D141" s="205">
        <f t="shared" si="42"/>
        <v>45009</v>
      </c>
      <c r="E141" s="52" t="s">
        <v>16</v>
      </c>
      <c r="F141" s="149">
        <v>9</v>
      </c>
      <c r="G141" s="186">
        <v>5</v>
      </c>
      <c r="H141" s="187">
        <f t="shared" si="25"/>
        <v>970.91</v>
      </c>
      <c r="I141" s="187">
        <f t="shared" si="39"/>
        <v>919.96</v>
      </c>
      <c r="J141" s="188">
        <f t="shared" si="36"/>
        <v>4599.8</v>
      </c>
      <c r="K141" s="189">
        <f t="shared" si="41"/>
        <v>4854.55</v>
      </c>
      <c r="L141" s="190">
        <f t="shared" si="40"/>
        <v>-254.75</v>
      </c>
      <c r="M141" s="191">
        <f t="shared" si="26"/>
        <v>-20.879362688177398</v>
      </c>
      <c r="N141" s="192">
        <f t="shared" si="27"/>
        <v>-275.62936268817742</v>
      </c>
      <c r="O141" s="191">
        <v>0</v>
      </c>
      <c r="P141" s="191">
        <v>0</v>
      </c>
      <c r="Q141" s="191">
        <v>0</v>
      </c>
      <c r="R141" s="192">
        <f t="shared" si="28"/>
        <v>-275.62936268817742</v>
      </c>
    </row>
    <row r="142" spans="1:18" x14ac:dyDescent="0.25">
      <c r="A142" s="149">
        <v>3</v>
      </c>
      <c r="B142" s="184">
        <f t="shared" si="35"/>
        <v>44986</v>
      </c>
      <c r="C142" s="205">
        <f t="shared" si="42"/>
        <v>45021</v>
      </c>
      <c r="D142" s="205">
        <f t="shared" si="42"/>
        <v>45040</v>
      </c>
      <c r="E142" s="52" t="s">
        <v>16</v>
      </c>
      <c r="F142" s="149">
        <v>9</v>
      </c>
      <c r="G142" s="186">
        <v>1</v>
      </c>
      <c r="H142" s="187">
        <f t="shared" si="25"/>
        <v>970.91</v>
      </c>
      <c r="I142" s="187">
        <f t="shared" si="39"/>
        <v>919.96</v>
      </c>
      <c r="J142" s="188">
        <f t="shared" si="36"/>
        <v>919.96</v>
      </c>
      <c r="K142" s="189">
        <f t="shared" si="41"/>
        <v>970.91</v>
      </c>
      <c r="L142" s="190">
        <f>+J142-K142</f>
        <v>-50.949999999999932</v>
      </c>
      <c r="M142" s="191">
        <f t="shared" si="26"/>
        <v>-4.1758725376354793</v>
      </c>
      <c r="N142" s="192">
        <f t="shared" si="27"/>
        <v>-55.125872537635409</v>
      </c>
      <c r="O142" s="191">
        <v>0</v>
      </c>
      <c r="P142" s="191">
        <v>0</v>
      </c>
      <c r="Q142" s="191">
        <v>0</v>
      </c>
      <c r="R142" s="192">
        <f t="shared" si="28"/>
        <v>-55.125872537635409</v>
      </c>
    </row>
    <row r="143" spans="1:18" x14ac:dyDescent="0.25">
      <c r="A143" s="112">
        <v>4</v>
      </c>
      <c r="B143" s="184">
        <f t="shared" si="35"/>
        <v>45017</v>
      </c>
      <c r="C143" s="205">
        <f t="shared" si="42"/>
        <v>45049</v>
      </c>
      <c r="D143" s="205">
        <f t="shared" si="42"/>
        <v>45070</v>
      </c>
      <c r="E143" s="52" t="s">
        <v>16</v>
      </c>
      <c r="F143" s="149">
        <v>9</v>
      </c>
      <c r="G143" s="186">
        <v>7</v>
      </c>
      <c r="H143" s="187">
        <f t="shared" si="25"/>
        <v>970.91</v>
      </c>
      <c r="I143" s="187">
        <f t="shared" si="39"/>
        <v>919.96</v>
      </c>
      <c r="J143" s="188">
        <f t="shared" si="36"/>
        <v>6439.72</v>
      </c>
      <c r="K143" s="189">
        <f t="shared" si="41"/>
        <v>6796.37</v>
      </c>
      <c r="L143" s="190">
        <f t="shared" ref="L143:L153" si="43">+J143-K143</f>
        <v>-356.64999999999964</v>
      </c>
      <c r="M143" s="191">
        <f t="shared" si="26"/>
        <v>-29.231107763448357</v>
      </c>
      <c r="N143" s="192">
        <f t="shared" si="27"/>
        <v>-385.88110776344797</v>
      </c>
      <c r="O143" s="191">
        <v>0</v>
      </c>
      <c r="P143" s="191">
        <v>0</v>
      </c>
      <c r="Q143" s="191">
        <v>0</v>
      </c>
      <c r="R143" s="192">
        <f t="shared" si="28"/>
        <v>-385.88110776344797</v>
      </c>
    </row>
    <row r="144" spans="1:18" x14ac:dyDescent="0.25">
      <c r="A144" s="149">
        <v>5</v>
      </c>
      <c r="B144" s="184">
        <f t="shared" si="35"/>
        <v>45047</v>
      </c>
      <c r="C144" s="205">
        <f t="shared" si="42"/>
        <v>45082</v>
      </c>
      <c r="D144" s="205">
        <f t="shared" si="42"/>
        <v>45103</v>
      </c>
      <c r="E144" s="52" t="s">
        <v>16</v>
      </c>
      <c r="F144" s="149">
        <v>9</v>
      </c>
      <c r="G144" s="186">
        <v>3</v>
      </c>
      <c r="H144" s="187">
        <f t="shared" si="25"/>
        <v>970.91</v>
      </c>
      <c r="I144" s="187">
        <f t="shared" si="39"/>
        <v>919.96</v>
      </c>
      <c r="J144" s="188">
        <f t="shared" si="36"/>
        <v>2759.88</v>
      </c>
      <c r="K144" s="189">
        <f t="shared" si="41"/>
        <v>2912.73</v>
      </c>
      <c r="L144" s="190">
        <f t="shared" si="43"/>
        <v>-152.84999999999991</v>
      </c>
      <c r="M144" s="191">
        <f t="shared" si="26"/>
        <v>-12.527617612906438</v>
      </c>
      <c r="N144" s="192">
        <f t="shared" si="27"/>
        <v>-165.37761761290633</v>
      </c>
      <c r="O144" s="191">
        <v>0</v>
      </c>
      <c r="P144" s="191">
        <v>0</v>
      </c>
      <c r="Q144" s="191">
        <v>0</v>
      </c>
      <c r="R144" s="192">
        <f t="shared" si="28"/>
        <v>-165.37761761290633</v>
      </c>
    </row>
    <row r="145" spans="1:19" x14ac:dyDescent="0.25">
      <c r="A145" s="149">
        <v>6</v>
      </c>
      <c r="B145" s="184">
        <f t="shared" si="35"/>
        <v>45078</v>
      </c>
      <c r="C145" s="205">
        <f t="shared" si="42"/>
        <v>45112</v>
      </c>
      <c r="D145" s="205">
        <f t="shared" si="42"/>
        <v>45131</v>
      </c>
      <c r="E145" s="52" t="s">
        <v>16</v>
      </c>
      <c r="F145" s="149">
        <v>9</v>
      </c>
      <c r="G145" s="186">
        <v>7</v>
      </c>
      <c r="H145" s="187">
        <f t="shared" si="25"/>
        <v>970.91</v>
      </c>
      <c r="I145" s="187">
        <f t="shared" si="39"/>
        <v>919.96</v>
      </c>
      <c r="J145" s="188">
        <f t="shared" si="36"/>
        <v>6439.72</v>
      </c>
      <c r="K145" s="189">
        <f t="shared" si="41"/>
        <v>6796.37</v>
      </c>
      <c r="L145" s="194">
        <f t="shared" si="43"/>
        <v>-356.64999999999964</v>
      </c>
      <c r="M145" s="191">
        <f t="shared" si="26"/>
        <v>-29.231107763448357</v>
      </c>
      <c r="N145" s="192">
        <f t="shared" si="27"/>
        <v>-385.88110776344797</v>
      </c>
      <c r="O145" s="191">
        <v>0</v>
      </c>
      <c r="P145" s="191">
        <v>0</v>
      </c>
      <c r="Q145" s="191">
        <v>0</v>
      </c>
      <c r="R145" s="192">
        <f t="shared" si="28"/>
        <v>-385.88110776344797</v>
      </c>
    </row>
    <row r="146" spans="1:19" x14ac:dyDescent="0.25">
      <c r="A146" s="112">
        <v>7</v>
      </c>
      <c r="B146" s="184">
        <f t="shared" si="35"/>
        <v>45108</v>
      </c>
      <c r="C146" s="205">
        <f t="shared" si="42"/>
        <v>45141</v>
      </c>
      <c r="D146" s="205">
        <f t="shared" si="42"/>
        <v>45162</v>
      </c>
      <c r="E146" s="52" t="s">
        <v>16</v>
      </c>
      <c r="F146" s="149">
        <v>9</v>
      </c>
      <c r="G146" s="186">
        <v>5</v>
      </c>
      <c r="H146" s="187">
        <f t="shared" si="25"/>
        <v>970.91</v>
      </c>
      <c r="I146" s="187">
        <f t="shared" si="39"/>
        <v>919.96</v>
      </c>
      <c r="J146" s="188">
        <f t="shared" si="36"/>
        <v>4599.8</v>
      </c>
      <c r="K146" s="195">
        <f t="shared" si="41"/>
        <v>4854.55</v>
      </c>
      <c r="L146" s="194">
        <f t="shared" si="43"/>
        <v>-254.75</v>
      </c>
      <c r="M146" s="191">
        <f t="shared" si="26"/>
        <v>-20.879362688177398</v>
      </c>
      <c r="N146" s="192">
        <f t="shared" si="27"/>
        <v>-275.62936268817742</v>
      </c>
      <c r="O146" s="191">
        <v>0</v>
      </c>
      <c r="P146" s="191">
        <v>0</v>
      </c>
      <c r="Q146" s="191">
        <v>0</v>
      </c>
      <c r="R146" s="192">
        <f t="shared" si="28"/>
        <v>-275.62936268817742</v>
      </c>
    </row>
    <row r="147" spans="1:19" x14ac:dyDescent="0.25">
      <c r="A147" s="149">
        <v>8</v>
      </c>
      <c r="B147" s="184">
        <f t="shared" si="35"/>
        <v>45139</v>
      </c>
      <c r="C147" s="205">
        <f t="shared" si="42"/>
        <v>45174</v>
      </c>
      <c r="D147" s="205">
        <f t="shared" si="42"/>
        <v>45194</v>
      </c>
      <c r="E147" s="52" t="s">
        <v>16</v>
      </c>
      <c r="F147" s="149">
        <v>9</v>
      </c>
      <c r="G147" s="186">
        <v>5</v>
      </c>
      <c r="H147" s="187">
        <f t="shared" si="25"/>
        <v>970.91</v>
      </c>
      <c r="I147" s="187">
        <f t="shared" si="39"/>
        <v>919.96</v>
      </c>
      <c r="J147" s="188">
        <f t="shared" si="36"/>
        <v>4599.8</v>
      </c>
      <c r="K147" s="195">
        <f t="shared" si="41"/>
        <v>4854.55</v>
      </c>
      <c r="L147" s="194">
        <f t="shared" si="43"/>
        <v>-254.75</v>
      </c>
      <c r="M147" s="191">
        <f t="shared" si="26"/>
        <v>-20.879362688177398</v>
      </c>
      <c r="N147" s="192">
        <f t="shared" si="27"/>
        <v>-275.62936268817742</v>
      </c>
      <c r="O147" s="191">
        <v>0</v>
      </c>
      <c r="P147" s="191">
        <v>0</v>
      </c>
      <c r="Q147" s="191">
        <v>0</v>
      </c>
      <c r="R147" s="192">
        <f t="shared" si="28"/>
        <v>-275.62936268817742</v>
      </c>
    </row>
    <row r="148" spans="1:19" x14ac:dyDescent="0.25">
      <c r="A148" s="149">
        <v>9</v>
      </c>
      <c r="B148" s="184">
        <f t="shared" si="35"/>
        <v>45170</v>
      </c>
      <c r="C148" s="205">
        <f t="shared" si="42"/>
        <v>45203</v>
      </c>
      <c r="D148" s="205">
        <f t="shared" si="42"/>
        <v>45223</v>
      </c>
      <c r="E148" s="52" t="s">
        <v>16</v>
      </c>
      <c r="F148" s="149">
        <v>9</v>
      </c>
      <c r="G148" s="186">
        <v>6</v>
      </c>
      <c r="H148" s="187">
        <f t="shared" si="25"/>
        <v>970.91</v>
      </c>
      <c r="I148" s="187">
        <f t="shared" ref="I148:I179" si="44">$J$3</f>
        <v>919.96</v>
      </c>
      <c r="J148" s="188">
        <f t="shared" si="36"/>
        <v>5519.76</v>
      </c>
      <c r="K148" s="195">
        <f t="shared" si="41"/>
        <v>5825.46</v>
      </c>
      <c r="L148" s="194">
        <f t="shared" si="43"/>
        <v>-305.69999999999982</v>
      </c>
      <c r="M148" s="191">
        <f t="shared" si="26"/>
        <v>-25.055235225812876</v>
      </c>
      <c r="N148" s="192">
        <f t="shared" si="27"/>
        <v>-330.75523522581267</v>
      </c>
      <c r="O148" s="191">
        <v>0</v>
      </c>
      <c r="P148" s="191">
        <v>0</v>
      </c>
      <c r="Q148" s="191">
        <v>0</v>
      </c>
      <c r="R148" s="192">
        <f t="shared" si="28"/>
        <v>-330.75523522581267</v>
      </c>
    </row>
    <row r="149" spans="1:19" x14ac:dyDescent="0.25">
      <c r="A149" s="112">
        <v>10</v>
      </c>
      <c r="B149" s="184">
        <f t="shared" ref="B149:B211" si="45">DATE($R$1,A149,1)</f>
        <v>45200</v>
      </c>
      <c r="C149" s="205">
        <f t="shared" si="42"/>
        <v>45233</v>
      </c>
      <c r="D149" s="205">
        <f t="shared" si="42"/>
        <v>45254</v>
      </c>
      <c r="E149" s="52" t="s">
        <v>16</v>
      </c>
      <c r="F149" s="149">
        <v>9</v>
      </c>
      <c r="G149" s="186">
        <v>5</v>
      </c>
      <c r="H149" s="187">
        <f t="shared" ref="H149:H211" si="46">+$K$3</f>
        <v>970.91</v>
      </c>
      <c r="I149" s="187">
        <f t="shared" si="44"/>
        <v>919.96</v>
      </c>
      <c r="J149" s="188">
        <f t="shared" ref="J149:J211" si="47">+$G149*I149</f>
        <v>4599.8</v>
      </c>
      <c r="K149" s="195">
        <f t="shared" si="41"/>
        <v>4854.55</v>
      </c>
      <c r="L149" s="194">
        <f t="shared" si="43"/>
        <v>-254.75</v>
      </c>
      <c r="M149" s="191">
        <f t="shared" ref="M149:M211" si="48">G149/$G$212*$M$14</f>
        <v>-20.879362688177398</v>
      </c>
      <c r="N149" s="192">
        <f t="shared" ref="N149:N211" si="49">SUM(L149:M149)</f>
        <v>-275.62936268817742</v>
      </c>
      <c r="O149" s="191">
        <v>0</v>
      </c>
      <c r="P149" s="191">
        <v>0</v>
      </c>
      <c r="Q149" s="191">
        <v>0</v>
      </c>
      <c r="R149" s="192">
        <f t="shared" ref="R149:R211" si="50">+N149-Q149</f>
        <v>-275.62936268817742</v>
      </c>
    </row>
    <row r="150" spans="1:19" x14ac:dyDescent="0.25">
      <c r="A150" s="149">
        <v>11</v>
      </c>
      <c r="B150" s="184">
        <f t="shared" si="45"/>
        <v>45231</v>
      </c>
      <c r="C150" s="205">
        <f t="shared" si="42"/>
        <v>45265</v>
      </c>
      <c r="D150" s="205">
        <f t="shared" si="42"/>
        <v>45285</v>
      </c>
      <c r="E150" s="52" t="s">
        <v>16</v>
      </c>
      <c r="F150" s="149">
        <v>9</v>
      </c>
      <c r="G150" s="186">
        <v>4</v>
      </c>
      <c r="H150" s="187">
        <f t="shared" si="46"/>
        <v>970.91</v>
      </c>
      <c r="I150" s="187">
        <f t="shared" si="44"/>
        <v>919.96</v>
      </c>
      <c r="J150" s="188">
        <f t="shared" si="47"/>
        <v>3679.84</v>
      </c>
      <c r="K150" s="195">
        <f t="shared" si="41"/>
        <v>3883.64</v>
      </c>
      <c r="L150" s="194">
        <f t="shared" si="43"/>
        <v>-203.79999999999973</v>
      </c>
      <c r="M150" s="191">
        <f t="shared" si="48"/>
        <v>-16.703490150541917</v>
      </c>
      <c r="N150" s="192">
        <f t="shared" si="49"/>
        <v>-220.50349015054164</v>
      </c>
      <c r="O150" s="191">
        <v>0</v>
      </c>
      <c r="P150" s="191">
        <v>0</v>
      </c>
      <c r="Q150" s="191">
        <v>0</v>
      </c>
      <c r="R150" s="192">
        <f t="shared" si="50"/>
        <v>-220.50349015054164</v>
      </c>
    </row>
    <row r="151" spans="1:19" s="209" customFormat="1" x14ac:dyDescent="0.25">
      <c r="A151" s="149">
        <v>12</v>
      </c>
      <c r="B151" s="207">
        <f t="shared" si="45"/>
        <v>45261</v>
      </c>
      <c r="C151" s="205">
        <f t="shared" si="42"/>
        <v>45294</v>
      </c>
      <c r="D151" s="205">
        <f t="shared" si="42"/>
        <v>45315</v>
      </c>
      <c r="E151" s="208" t="s">
        <v>16</v>
      </c>
      <c r="F151" s="160">
        <v>9</v>
      </c>
      <c r="G151" s="186">
        <v>4</v>
      </c>
      <c r="H151" s="197">
        <f t="shared" si="46"/>
        <v>970.91</v>
      </c>
      <c r="I151" s="197">
        <f t="shared" si="44"/>
        <v>919.96</v>
      </c>
      <c r="J151" s="198">
        <f t="shared" si="47"/>
        <v>3679.84</v>
      </c>
      <c r="K151" s="199">
        <f t="shared" si="41"/>
        <v>3883.64</v>
      </c>
      <c r="L151" s="200">
        <f t="shared" si="43"/>
        <v>-203.79999999999973</v>
      </c>
      <c r="M151" s="191">
        <f t="shared" si="48"/>
        <v>-16.703490150541917</v>
      </c>
      <c r="N151" s="192">
        <f t="shared" si="49"/>
        <v>-220.50349015054164</v>
      </c>
      <c r="O151" s="191">
        <v>0</v>
      </c>
      <c r="P151" s="191">
        <v>0</v>
      </c>
      <c r="Q151" s="191">
        <v>0</v>
      </c>
      <c r="R151" s="192">
        <f t="shared" si="50"/>
        <v>-220.50349015054164</v>
      </c>
    </row>
    <row r="152" spans="1:19" x14ac:dyDescent="0.25">
      <c r="A152" s="112">
        <v>1</v>
      </c>
      <c r="B152" s="184">
        <f t="shared" si="45"/>
        <v>44927</v>
      </c>
      <c r="C152" s="202">
        <f t="shared" ref="C152:D171" si="51">+C140</f>
        <v>44960</v>
      </c>
      <c r="D152" s="202">
        <f t="shared" si="51"/>
        <v>44981</v>
      </c>
      <c r="E152" s="212" t="s">
        <v>54</v>
      </c>
      <c r="F152" s="112">
        <v>9</v>
      </c>
      <c r="G152" s="186">
        <v>113</v>
      </c>
      <c r="H152" s="187">
        <f t="shared" si="46"/>
        <v>970.91</v>
      </c>
      <c r="I152" s="187">
        <f t="shared" si="44"/>
        <v>919.96</v>
      </c>
      <c r="J152" s="188">
        <f t="shared" si="47"/>
        <v>103955.48000000001</v>
      </c>
      <c r="K152" s="189">
        <f t="shared" si="41"/>
        <v>109712.83</v>
      </c>
      <c r="L152" s="190">
        <f t="shared" si="43"/>
        <v>-5757.3499999999913</v>
      </c>
      <c r="M152" s="191">
        <f t="shared" si="48"/>
        <v>-471.87359675280914</v>
      </c>
      <c r="N152" s="192">
        <f t="shared" si="49"/>
        <v>-6229.2235967528004</v>
      </c>
      <c r="O152" s="191">
        <v>0</v>
      </c>
      <c r="P152" s="191">
        <v>0</v>
      </c>
      <c r="Q152" s="191">
        <v>0</v>
      </c>
      <c r="R152" s="192">
        <f t="shared" si="50"/>
        <v>-6229.2235967528004</v>
      </c>
    </row>
    <row r="153" spans="1:19" x14ac:dyDescent="0.25">
      <c r="A153" s="149">
        <v>2</v>
      </c>
      <c r="B153" s="184">
        <f t="shared" si="45"/>
        <v>44958</v>
      </c>
      <c r="C153" s="205">
        <f t="shared" si="51"/>
        <v>44988</v>
      </c>
      <c r="D153" s="205">
        <f t="shared" si="51"/>
        <v>45009</v>
      </c>
      <c r="E153" s="213" t="s">
        <v>54</v>
      </c>
      <c r="F153" s="149">
        <v>9</v>
      </c>
      <c r="G153" s="186">
        <v>108</v>
      </c>
      <c r="H153" s="187">
        <f t="shared" si="46"/>
        <v>970.91</v>
      </c>
      <c r="I153" s="187">
        <f t="shared" si="44"/>
        <v>919.96</v>
      </c>
      <c r="J153" s="188">
        <f t="shared" si="47"/>
        <v>99355.680000000008</v>
      </c>
      <c r="K153" s="189">
        <f t="shared" si="41"/>
        <v>104858.28</v>
      </c>
      <c r="L153" s="190">
        <f t="shared" si="43"/>
        <v>-5502.5999999999913</v>
      </c>
      <c r="M153" s="191">
        <f t="shared" si="48"/>
        <v>-450.99423406463183</v>
      </c>
      <c r="N153" s="192">
        <f t="shared" si="49"/>
        <v>-5953.5942340646234</v>
      </c>
      <c r="O153" s="191">
        <v>0</v>
      </c>
      <c r="P153" s="191">
        <v>0</v>
      </c>
      <c r="Q153" s="191">
        <v>0</v>
      </c>
      <c r="R153" s="192">
        <f t="shared" si="50"/>
        <v>-5953.5942340646234</v>
      </c>
    </row>
    <row r="154" spans="1:19" x14ac:dyDescent="0.25">
      <c r="A154" s="149">
        <v>3</v>
      </c>
      <c r="B154" s="184">
        <f t="shared" si="45"/>
        <v>44986</v>
      </c>
      <c r="C154" s="205">
        <f t="shared" si="51"/>
        <v>45021</v>
      </c>
      <c r="D154" s="205">
        <f t="shared" si="51"/>
        <v>45040</v>
      </c>
      <c r="E154" s="213" t="s">
        <v>54</v>
      </c>
      <c r="F154" s="149">
        <v>9</v>
      </c>
      <c r="G154" s="186">
        <v>96</v>
      </c>
      <c r="H154" s="187">
        <f t="shared" si="46"/>
        <v>970.91</v>
      </c>
      <c r="I154" s="187">
        <f t="shared" si="44"/>
        <v>919.96</v>
      </c>
      <c r="J154" s="188">
        <f t="shared" si="47"/>
        <v>88316.160000000003</v>
      </c>
      <c r="K154" s="189">
        <f t="shared" si="41"/>
        <v>93207.360000000001</v>
      </c>
      <c r="L154" s="190">
        <f>+J154-K154</f>
        <v>-4891.1999999999971</v>
      </c>
      <c r="M154" s="191">
        <f t="shared" si="48"/>
        <v>-400.88376361300601</v>
      </c>
      <c r="N154" s="192">
        <f t="shared" si="49"/>
        <v>-5292.0837636130027</v>
      </c>
      <c r="O154" s="191">
        <v>0</v>
      </c>
      <c r="P154" s="191">
        <v>0</v>
      </c>
      <c r="Q154" s="191">
        <v>0</v>
      </c>
      <c r="R154" s="192">
        <f t="shared" si="50"/>
        <v>-5292.0837636130027</v>
      </c>
    </row>
    <row r="155" spans="1:19" x14ac:dyDescent="0.25">
      <c r="A155" s="112">
        <v>4</v>
      </c>
      <c r="B155" s="184">
        <f t="shared" si="45"/>
        <v>45017</v>
      </c>
      <c r="C155" s="205">
        <f t="shared" si="51"/>
        <v>45049</v>
      </c>
      <c r="D155" s="205">
        <f t="shared" si="51"/>
        <v>45070</v>
      </c>
      <c r="E155" s="213" t="s">
        <v>54</v>
      </c>
      <c r="F155" s="149">
        <v>9</v>
      </c>
      <c r="G155" s="186">
        <v>91</v>
      </c>
      <c r="H155" s="187">
        <f t="shared" si="46"/>
        <v>970.91</v>
      </c>
      <c r="I155" s="187">
        <f t="shared" si="44"/>
        <v>919.96</v>
      </c>
      <c r="J155" s="188">
        <f t="shared" si="47"/>
        <v>83716.36</v>
      </c>
      <c r="K155" s="189">
        <f t="shared" si="41"/>
        <v>88352.81</v>
      </c>
      <c r="L155" s="190">
        <f t="shared" ref="L155:L165" si="52">+J155-K155</f>
        <v>-4636.4499999999971</v>
      </c>
      <c r="M155" s="191">
        <f t="shared" si="48"/>
        <v>-380.00440092482864</v>
      </c>
      <c r="N155" s="192">
        <f t="shared" si="49"/>
        <v>-5016.4544009248257</v>
      </c>
      <c r="O155" s="191">
        <v>0</v>
      </c>
      <c r="P155" s="191">
        <v>0</v>
      </c>
      <c r="Q155" s="191">
        <v>0</v>
      </c>
      <c r="R155" s="192">
        <f t="shared" si="50"/>
        <v>-5016.4544009248257</v>
      </c>
    </row>
    <row r="156" spans="1:19" x14ac:dyDescent="0.25">
      <c r="A156" s="149">
        <v>5</v>
      </c>
      <c r="B156" s="184">
        <f t="shared" si="45"/>
        <v>45047</v>
      </c>
      <c r="C156" s="205">
        <f t="shared" si="51"/>
        <v>45082</v>
      </c>
      <c r="D156" s="205">
        <f t="shared" si="51"/>
        <v>45103</v>
      </c>
      <c r="E156" s="213" t="s">
        <v>54</v>
      </c>
      <c r="F156" s="149">
        <v>9</v>
      </c>
      <c r="G156" s="186">
        <v>125</v>
      </c>
      <c r="H156" s="187">
        <f t="shared" si="46"/>
        <v>970.91</v>
      </c>
      <c r="I156" s="187">
        <f t="shared" si="44"/>
        <v>919.96</v>
      </c>
      <c r="J156" s="188">
        <f t="shared" si="47"/>
        <v>114995</v>
      </c>
      <c r="K156" s="189">
        <f t="shared" si="41"/>
        <v>121363.75</v>
      </c>
      <c r="L156" s="190">
        <f t="shared" si="52"/>
        <v>-6368.75</v>
      </c>
      <c r="M156" s="191">
        <f t="shared" si="48"/>
        <v>-521.98406720443495</v>
      </c>
      <c r="N156" s="192">
        <f t="shared" si="49"/>
        <v>-6890.7340672044347</v>
      </c>
      <c r="O156" s="191">
        <v>0</v>
      </c>
      <c r="P156" s="191">
        <v>0</v>
      </c>
      <c r="Q156" s="191">
        <v>0</v>
      </c>
      <c r="R156" s="192">
        <f t="shared" si="50"/>
        <v>-6890.7340672044347</v>
      </c>
    </row>
    <row r="157" spans="1:19" x14ac:dyDescent="0.25">
      <c r="A157" s="149">
        <v>6</v>
      </c>
      <c r="B157" s="184">
        <f t="shared" si="45"/>
        <v>45078</v>
      </c>
      <c r="C157" s="205">
        <f t="shared" si="51"/>
        <v>45112</v>
      </c>
      <c r="D157" s="205">
        <f t="shared" si="51"/>
        <v>45131</v>
      </c>
      <c r="E157" s="213" t="s">
        <v>54</v>
      </c>
      <c r="F157" s="149">
        <v>9</v>
      </c>
      <c r="G157" s="186">
        <v>167</v>
      </c>
      <c r="H157" s="187">
        <f t="shared" si="46"/>
        <v>970.91</v>
      </c>
      <c r="I157" s="187">
        <f t="shared" si="44"/>
        <v>919.96</v>
      </c>
      <c r="J157" s="188">
        <f t="shared" si="47"/>
        <v>153633.32</v>
      </c>
      <c r="K157" s="189">
        <f t="shared" si="41"/>
        <v>162141.97</v>
      </c>
      <c r="L157" s="194">
        <f t="shared" si="52"/>
        <v>-8508.6499999999942</v>
      </c>
      <c r="M157" s="191">
        <f t="shared" si="48"/>
        <v>-697.37071378512508</v>
      </c>
      <c r="N157" s="192">
        <f t="shared" si="49"/>
        <v>-9206.0207137851194</v>
      </c>
      <c r="O157" s="191">
        <v>0</v>
      </c>
      <c r="P157" s="191">
        <v>0</v>
      </c>
      <c r="Q157" s="191">
        <v>0</v>
      </c>
      <c r="R157" s="192">
        <f t="shared" si="50"/>
        <v>-9206.0207137851194</v>
      </c>
    </row>
    <row r="158" spans="1:19" x14ac:dyDescent="0.25">
      <c r="A158" s="112">
        <v>7</v>
      </c>
      <c r="B158" s="184">
        <f t="shared" si="45"/>
        <v>45108</v>
      </c>
      <c r="C158" s="205">
        <f t="shared" si="51"/>
        <v>45141</v>
      </c>
      <c r="D158" s="205">
        <f t="shared" si="51"/>
        <v>45162</v>
      </c>
      <c r="E158" s="213" t="s">
        <v>54</v>
      </c>
      <c r="F158" s="149">
        <v>9</v>
      </c>
      <c r="G158" s="186">
        <v>160</v>
      </c>
      <c r="H158" s="187">
        <f t="shared" si="46"/>
        <v>970.91</v>
      </c>
      <c r="I158" s="187">
        <f t="shared" si="44"/>
        <v>919.96</v>
      </c>
      <c r="J158" s="188">
        <f t="shared" si="47"/>
        <v>147193.60000000001</v>
      </c>
      <c r="K158" s="195">
        <f t="shared" si="41"/>
        <v>155345.60000000001</v>
      </c>
      <c r="L158" s="194">
        <f t="shared" si="52"/>
        <v>-8152</v>
      </c>
      <c r="M158" s="191">
        <f t="shared" si="48"/>
        <v>-668.13960602167674</v>
      </c>
      <c r="N158" s="192">
        <f t="shared" si="49"/>
        <v>-8820.1396060216775</v>
      </c>
      <c r="O158" s="191">
        <v>0</v>
      </c>
      <c r="P158" s="191">
        <v>0</v>
      </c>
      <c r="Q158" s="191">
        <v>0</v>
      </c>
      <c r="R158" s="192">
        <f t="shared" si="50"/>
        <v>-8820.1396060216775</v>
      </c>
    </row>
    <row r="159" spans="1:19" x14ac:dyDescent="0.25">
      <c r="A159" s="149">
        <v>8</v>
      </c>
      <c r="B159" s="184">
        <f t="shared" si="45"/>
        <v>45139</v>
      </c>
      <c r="C159" s="205">
        <f t="shared" si="51"/>
        <v>45174</v>
      </c>
      <c r="D159" s="205">
        <f t="shared" si="51"/>
        <v>45194</v>
      </c>
      <c r="E159" s="213" t="s">
        <v>54</v>
      </c>
      <c r="F159" s="112">
        <v>9</v>
      </c>
      <c r="G159" s="186">
        <v>181</v>
      </c>
      <c r="H159" s="187">
        <f t="shared" si="46"/>
        <v>970.91</v>
      </c>
      <c r="I159" s="187">
        <f t="shared" si="44"/>
        <v>919.96</v>
      </c>
      <c r="J159" s="188">
        <f t="shared" si="47"/>
        <v>166512.76</v>
      </c>
      <c r="K159" s="195">
        <f t="shared" si="41"/>
        <v>175734.71</v>
      </c>
      <c r="L159" s="194">
        <f t="shared" si="52"/>
        <v>-9221.9499999999825</v>
      </c>
      <c r="M159" s="191">
        <f t="shared" si="48"/>
        <v>-755.83292931202175</v>
      </c>
      <c r="N159" s="192">
        <f t="shared" si="49"/>
        <v>-9977.7829293120049</v>
      </c>
      <c r="O159" s="191">
        <v>0</v>
      </c>
      <c r="P159" s="191">
        <v>0</v>
      </c>
      <c r="Q159" s="191">
        <v>0</v>
      </c>
      <c r="R159" s="192">
        <f t="shared" si="50"/>
        <v>-9977.7829293120049</v>
      </c>
      <c r="S159" s="50"/>
    </row>
    <row r="160" spans="1:19" x14ac:dyDescent="0.25">
      <c r="A160" s="149">
        <v>9</v>
      </c>
      <c r="B160" s="184">
        <f t="shared" si="45"/>
        <v>45170</v>
      </c>
      <c r="C160" s="205">
        <f t="shared" si="51"/>
        <v>45203</v>
      </c>
      <c r="D160" s="205">
        <f t="shared" si="51"/>
        <v>45223</v>
      </c>
      <c r="E160" s="213" t="s">
        <v>54</v>
      </c>
      <c r="F160" s="112">
        <v>9</v>
      </c>
      <c r="G160" s="186">
        <v>157</v>
      </c>
      <c r="H160" s="187">
        <f t="shared" si="46"/>
        <v>970.91</v>
      </c>
      <c r="I160" s="187">
        <f t="shared" si="44"/>
        <v>919.96</v>
      </c>
      <c r="J160" s="188">
        <f t="shared" si="47"/>
        <v>144433.72</v>
      </c>
      <c r="K160" s="195">
        <f t="shared" si="41"/>
        <v>152432.87</v>
      </c>
      <c r="L160" s="194">
        <f t="shared" si="52"/>
        <v>-7999.1499999999942</v>
      </c>
      <c r="M160" s="191">
        <f t="shared" si="48"/>
        <v>-655.61198840877023</v>
      </c>
      <c r="N160" s="192">
        <f t="shared" si="49"/>
        <v>-8654.7619884087653</v>
      </c>
      <c r="O160" s="191">
        <v>0</v>
      </c>
      <c r="P160" s="191">
        <v>0</v>
      </c>
      <c r="Q160" s="191">
        <v>0</v>
      </c>
      <c r="R160" s="192">
        <f t="shared" si="50"/>
        <v>-8654.7619884087653</v>
      </c>
    </row>
    <row r="161" spans="1:19" x14ac:dyDescent="0.25">
      <c r="A161" s="112">
        <v>10</v>
      </c>
      <c r="B161" s="184">
        <f t="shared" si="45"/>
        <v>45200</v>
      </c>
      <c r="C161" s="205">
        <f t="shared" si="51"/>
        <v>45233</v>
      </c>
      <c r="D161" s="205">
        <f t="shared" si="51"/>
        <v>45254</v>
      </c>
      <c r="E161" s="213" t="s">
        <v>54</v>
      </c>
      <c r="F161" s="112">
        <v>9</v>
      </c>
      <c r="G161" s="186">
        <v>118</v>
      </c>
      <c r="H161" s="187">
        <f t="shared" si="46"/>
        <v>970.91</v>
      </c>
      <c r="I161" s="187">
        <f t="shared" si="44"/>
        <v>919.96</v>
      </c>
      <c r="J161" s="188">
        <f t="shared" si="47"/>
        <v>108555.28</v>
      </c>
      <c r="K161" s="195">
        <f t="shared" si="41"/>
        <v>114567.37999999999</v>
      </c>
      <c r="L161" s="194">
        <f t="shared" si="52"/>
        <v>-6012.0999999999913</v>
      </c>
      <c r="M161" s="191">
        <f t="shared" si="48"/>
        <v>-492.75295944098656</v>
      </c>
      <c r="N161" s="192">
        <f t="shared" si="49"/>
        <v>-6504.8529594409774</v>
      </c>
      <c r="O161" s="191">
        <v>0</v>
      </c>
      <c r="P161" s="191">
        <v>0</v>
      </c>
      <c r="Q161" s="191">
        <v>0</v>
      </c>
      <c r="R161" s="192">
        <f t="shared" si="50"/>
        <v>-6504.8529594409774</v>
      </c>
    </row>
    <row r="162" spans="1:19" x14ac:dyDescent="0.25">
      <c r="A162" s="149">
        <v>11</v>
      </c>
      <c r="B162" s="184">
        <f t="shared" si="45"/>
        <v>45231</v>
      </c>
      <c r="C162" s="205">
        <f t="shared" si="51"/>
        <v>45265</v>
      </c>
      <c r="D162" s="205">
        <f t="shared" si="51"/>
        <v>45285</v>
      </c>
      <c r="E162" s="213" t="s">
        <v>54</v>
      </c>
      <c r="F162" s="112">
        <v>9</v>
      </c>
      <c r="G162" s="186">
        <v>102</v>
      </c>
      <c r="H162" s="187">
        <f t="shared" si="46"/>
        <v>970.91</v>
      </c>
      <c r="I162" s="187">
        <f t="shared" si="44"/>
        <v>919.96</v>
      </c>
      <c r="J162" s="188">
        <f t="shared" si="47"/>
        <v>93835.92</v>
      </c>
      <c r="K162" s="195">
        <f t="shared" si="41"/>
        <v>99032.819999999992</v>
      </c>
      <c r="L162" s="194">
        <f t="shared" si="52"/>
        <v>-5196.8999999999942</v>
      </c>
      <c r="M162" s="191">
        <f t="shared" si="48"/>
        <v>-425.93899883881886</v>
      </c>
      <c r="N162" s="192">
        <f t="shared" si="49"/>
        <v>-5622.8389988388135</v>
      </c>
      <c r="O162" s="191">
        <v>0</v>
      </c>
      <c r="P162" s="191">
        <v>0</v>
      </c>
      <c r="Q162" s="191">
        <v>0</v>
      </c>
      <c r="R162" s="192">
        <f t="shared" si="50"/>
        <v>-5622.8389988388135</v>
      </c>
    </row>
    <row r="163" spans="1:19" s="209" customFormat="1" x14ac:dyDescent="0.25">
      <c r="A163" s="149">
        <v>12</v>
      </c>
      <c r="B163" s="207">
        <f t="shared" si="45"/>
        <v>45261</v>
      </c>
      <c r="C163" s="205">
        <f t="shared" si="51"/>
        <v>45294</v>
      </c>
      <c r="D163" s="205">
        <f t="shared" si="51"/>
        <v>45315</v>
      </c>
      <c r="E163" s="214" t="s">
        <v>54</v>
      </c>
      <c r="F163" s="160">
        <v>9</v>
      </c>
      <c r="G163" s="186">
        <v>99</v>
      </c>
      <c r="H163" s="197">
        <f t="shared" si="46"/>
        <v>970.91</v>
      </c>
      <c r="I163" s="197">
        <f t="shared" si="44"/>
        <v>919.96</v>
      </c>
      <c r="J163" s="198">
        <f t="shared" si="47"/>
        <v>91076.040000000008</v>
      </c>
      <c r="K163" s="199">
        <f t="shared" si="41"/>
        <v>96120.09</v>
      </c>
      <c r="L163" s="200">
        <f t="shared" si="52"/>
        <v>-5044.0499999999884</v>
      </c>
      <c r="M163" s="198">
        <f t="shared" si="48"/>
        <v>-413.41138122591252</v>
      </c>
      <c r="N163" s="223">
        <f t="shared" si="49"/>
        <v>-5457.4613812259013</v>
      </c>
      <c r="O163" s="198">
        <v>0</v>
      </c>
      <c r="P163" s="198">
        <v>0</v>
      </c>
      <c r="Q163" s="198">
        <v>0</v>
      </c>
      <c r="R163" s="223">
        <f t="shared" si="50"/>
        <v>-5457.4613812259013</v>
      </c>
    </row>
    <row r="164" spans="1:19" x14ac:dyDescent="0.25">
      <c r="A164" s="112">
        <v>1</v>
      </c>
      <c r="B164" s="184">
        <f t="shared" si="45"/>
        <v>44927</v>
      </c>
      <c r="C164" s="202">
        <f t="shared" si="51"/>
        <v>44960</v>
      </c>
      <c r="D164" s="202">
        <f t="shared" si="51"/>
        <v>44981</v>
      </c>
      <c r="E164" s="212" t="s">
        <v>55</v>
      </c>
      <c r="F164" s="112">
        <v>9</v>
      </c>
      <c r="G164" s="186">
        <v>7</v>
      </c>
      <c r="H164" s="187">
        <f t="shared" si="46"/>
        <v>970.91</v>
      </c>
      <c r="I164" s="187">
        <f t="shared" si="44"/>
        <v>919.96</v>
      </c>
      <c r="J164" s="188">
        <f t="shared" si="47"/>
        <v>6439.72</v>
      </c>
      <c r="K164" s="189">
        <f t="shared" si="41"/>
        <v>6796.37</v>
      </c>
      <c r="L164" s="190">
        <f t="shared" si="52"/>
        <v>-356.64999999999964</v>
      </c>
      <c r="M164" s="191">
        <f t="shared" si="48"/>
        <v>-29.231107763448357</v>
      </c>
      <c r="N164" s="192">
        <f t="shared" si="49"/>
        <v>-385.88110776344797</v>
      </c>
      <c r="O164" s="191">
        <v>0</v>
      </c>
      <c r="P164" s="191">
        <v>0</v>
      </c>
      <c r="Q164" s="191">
        <v>0</v>
      </c>
      <c r="R164" s="192">
        <f t="shared" si="50"/>
        <v>-385.88110776344797</v>
      </c>
    </row>
    <row r="165" spans="1:19" x14ac:dyDescent="0.25">
      <c r="A165" s="149">
        <v>2</v>
      </c>
      <c r="B165" s="184">
        <f t="shared" si="45"/>
        <v>44958</v>
      </c>
      <c r="C165" s="205">
        <f t="shared" si="51"/>
        <v>44988</v>
      </c>
      <c r="D165" s="205">
        <f t="shared" si="51"/>
        <v>45009</v>
      </c>
      <c r="E165" s="213" t="s">
        <v>55</v>
      </c>
      <c r="F165" s="149">
        <v>9</v>
      </c>
      <c r="G165" s="186">
        <v>10</v>
      </c>
      <c r="H165" s="187">
        <f t="shared" si="46"/>
        <v>970.91</v>
      </c>
      <c r="I165" s="187">
        <f t="shared" si="44"/>
        <v>919.96</v>
      </c>
      <c r="J165" s="188">
        <f t="shared" si="47"/>
        <v>9199.6</v>
      </c>
      <c r="K165" s="189">
        <f t="shared" si="41"/>
        <v>9709.1</v>
      </c>
      <c r="L165" s="190">
        <f t="shared" si="52"/>
        <v>-509.5</v>
      </c>
      <c r="M165" s="191">
        <f t="shared" si="48"/>
        <v>-41.758725376354796</v>
      </c>
      <c r="N165" s="192">
        <f t="shared" si="49"/>
        <v>-551.25872537635485</v>
      </c>
      <c r="O165" s="191">
        <v>0</v>
      </c>
      <c r="P165" s="191">
        <v>0</v>
      </c>
      <c r="Q165" s="191">
        <v>0</v>
      </c>
      <c r="R165" s="192">
        <f t="shared" si="50"/>
        <v>-551.25872537635485</v>
      </c>
    </row>
    <row r="166" spans="1:19" x14ac:dyDescent="0.25">
      <c r="A166" s="149">
        <v>3</v>
      </c>
      <c r="B166" s="184">
        <f t="shared" si="45"/>
        <v>44986</v>
      </c>
      <c r="C166" s="205">
        <f t="shared" si="51"/>
        <v>45021</v>
      </c>
      <c r="D166" s="205">
        <f t="shared" si="51"/>
        <v>45040</v>
      </c>
      <c r="E166" s="213" t="s">
        <v>55</v>
      </c>
      <c r="F166" s="149">
        <v>9</v>
      </c>
      <c r="G166" s="186">
        <v>8</v>
      </c>
      <c r="H166" s="187">
        <f t="shared" si="46"/>
        <v>970.91</v>
      </c>
      <c r="I166" s="187">
        <f t="shared" si="44"/>
        <v>919.96</v>
      </c>
      <c r="J166" s="188">
        <f t="shared" si="47"/>
        <v>7359.68</v>
      </c>
      <c r="K166" s="189">
        <f t="shared" si="41"/>
        <v>7767.28</v>
      </c>
      <c r="L166" s="190">
        <f>+J166-K166</f>
        <v>-407.59999999999945</v>
      </c>
      <c r="M166" s="191">
        <f t="shared" si="48"/>
        <v>-33.406980301083834</v>
      </c>
      <c r="N166" s="192">
        <f t="shared" si="49"/>
        <v>-441.00698030108327</v>
      </c>
      <c r="O166" s="191">
        <v>0</v>
      </c>
      <c r="P166" s="191">
        <v>0</v>
      </c>
      <c r="Q166" s="191">
        <v>0</v>
      </c>
      <c r="R166" s="192">
        <f t="shared" si="50"/>
        <v>-441.00698030108327</v>
      </c>
    </row>
    <row r="167" spans="1:19" x14ac:dyDescent="0.25">
      <c r="A167" s="112">
        <v>4</v>
      </c>
      <c r="B167" s="184">
        <f t="shared" si="45"/>
        <v>45017</v>
      </c>
      <c r="C167" s="205">
        <f t="shared" si="51"/>
        <v>45049</v>
      </c>
      <c r="D167" s="205">
        <f t="shared" si="51"/>
        <v>45070</v>
      </c>
      <c r="E167" s="213" t="s">
        <v>55</v>
      </c>
      <c r="F167" s="149">
        <v>9</v>
      </c>
      <c r="G167" s="186">
        <v>8</v>
      </c>
      <c r="H167" s="187">
        <f t="shared" si="46"/>
        <v>970.91</v>
      </c>
      <c r="I167" s="187">
        <f t="shared" si="44"/>
        <v>919.96</v>
      </c>
      <c r="J167" s="188">
        <f t="shared" si="47"/>
        <v>7359.68</v>
      </c>
      <c r="K167" s="189">
        <f t="shared" si="41"/>
        <v>7767.28</v>
      </c>
      <c r="L167" s="190">
        <f t="shared" ref="L167:L177" si="53">+J167-K167</f>
        <v>-407.59999999999945</v>
      </c>
      <c r="M167" s="191">
        <f t="shared" si="48"/>
        <v>-33.406980301083834</v>
      </c>
      <c r="N167" s="192">
        <f t="shared" si="49"/>
        <v>-441.00698030108327</v>
      </c>
      <c r="O167" s="191">
        <v>0</v>
      </c>
      <c r="P167" s="191">
        <v>0</v>
      </c>
      <c r="Q167" s="191">
        <v>0</v>
      </c>
      <c r="R167" s="192">
        <f t="shared" si="50"/>
        <v>-441.00698030108327</v>
      </c>
    </row>
    <row r="168" spans="1:19" x14ac:dyDescent="0.25">
      <c r="A168" s="149">
        <v>5</v>
      </c>
      <c r="B168" s="184">
        <f t="shared" si="45"/>
        <v>45047</v>
      </c>
      <c r="C168" s="205">
        <f t="shared" si="51"/>
        <v>45082</v>
      </c>
      <c r="D168" s="205">
        <f t="shared" si="51"/>
        <v>45103</v>
      </c>
      <c r="E168" s="213" t="s">
        <v>55</v>
      </c>
      <c r="F168" s="149">
        <v>9</v>
      </c>
      <c r="G168" s="186">
        <v>10</v>
      </c>
      <c r="H168" s="187">
        <f t="shared" si="46"/>
        <v>970.91</v>
      </c>
      <c r="I168" s="187">
        <f t="shared" si="44"/>
        <v>919.96</v>
      </c>
      <c r="J168" s="188">
        <f t="shared" si="47"/>
        <v>9199.6</v>
      </c>
      <c r="K168" s="189">
        <f t="shared" si="41"/>
        <v>9709.1</v>
      </c>
      <c r="L168" s="190">
        <f t="shared" si="53"/>
        <v>-509.5</v>
      </c>
      <c r="M168" s="191">
        <f t="shared" si="48"/>
        <v>-41.758725376354796</v>
      </c>
      <c r="N168" s="192">
        <f t="shared" si="49"/>
        <v>-551.25872537635485</v>
      </c>
      <c r="O168" s="191">
        <v>0</v>
      </c>
      <c r="P168" s="191">
        <v>0</v>
      </c>
      <c r="Q168" s="191">
        <v>0</v>
      </c>
      <c r="R168" s="192">
        <f t="shared" si="50"/>
        <v>-551.25872537635485</v>
      </c>
    </row>
    <row r="169" spans="1:19" x14ac:dyDescent="0.25">
      <c r="A169" s="149">
        <v>6</v>
      </c>
      <c r="B169" s="184">
        <f t="shared" si="45"/>
        <v>45078</v>
      </c>
      <c r="C169" s="205">
        <f t="shared" si="51"/>
        <v>45112</v>
      </c>
      <c r="D169" s="205">
        <f t="shared" si="51"/>
        <v>45131</v>
      </c>
      <c r="E169" s="213" t="s">
        <v>55</v>
      </c>
      <c r="F169" s="149">
        <v>9</v>
      </c>
      <c r="G169" s="186">
        <v>12</v>
      </c>
      <c r="H169" s="187">
        <f t="shared" si="46"/>
        <v>970.91</v>
      </c>
      <c r="I169" s="187">
        <f t="shared" si="44"/>
        <v>919.96</v>
      </c>
      <c r="J169" s="188">
        <f t="shared" si="47"/>
        <v>11039.52</v>
      </c>
      <c r="K169" s="189">
        <f t="shared" si="41"/>
        <v>11650.92</v>
      </c>
      <c r="L169" s="194">
        <f t="shared" si="53"/>
        <v>-611.39999999999964</v>
      </c>
      <c r="M169" s="191">
        <f t="shared" si="48"/>
        <v>-50.110470451625751</v>
      </c>
      <c r="N169" s="192">
        <f t="shared" si="49"/>
        <v>-661.51047045162534</v>
      </c>
      <c r="O169" s="191">
        <v>0</v>
      </c>
      <c r="P169" s="191">
        <v>0</v>
      </c>
      <c r="Q169" s="191">
        <v>0</v>
      </c>
      <c r="R169" s="192">
        <f t="shared" si="50"/>
        <v>-661.51047045162534</v>
      </c>
    </row>
    <row r="170" spans="1:19" x14ac:dyDescent="0.25">
      <c r="A170" s="112">
        <v>7</v>
      </c>
      <c r="B170" s="184">
        <f t="shared" si="45"/>
        <v>45108</v>
      </c>
      <c r="C170" s="205">
        <f t="shared" si="51"/>
        <v>45141</v>
      </c>
      <c r="D170" s="205">
        <f t="shared" si="51"/>
        <v>45162</v>
      </c>
      <c r="E170" s="213" t="s">
        <v>55</v>
      </c>
      <c r="F170" s="149">
        <v>9</v>
      </c>
      <c r="G170" s="186">
        <v>14</v>
      </c>
      <c r="H170" s="187">
        <f t="shared" si="46"/>
        <v>970.91</v>
      </c>
      <c r="I170" s="187">
        <f t="shared" si="44"/>
        <v>919.96</v>
      </c>
      <c r="J170" s="188">
        <f t="shared" si="47"/>
        <v>12879.44</v>
      </c>
      <c r="K170" s="195">
        <f t="shared" si="41"/>
        <v>13592.74</v>
      </c>
      <c r="L170" s="194">
        <f t="shared" si="53"/>
        <v>-713.29999999999927</v>
      </c>
      <c r="M170" s="191">
        <f t="shared" si="48"/>
        <v>-58.462215526896713</v>
      </c>
      <c r="N170" s="192">
        <f t="shared" si="49"/>
        <v>-771.76221552689594</v>
      </c>
      <c r="O170" s="191">
        <v>0</v>
      </c>
      <c r="P170" s="191">
        <v>0</v>
      </c>
      <c r="Q170" s="191">
        <v>0</v>
      </c>
      <c r="R170" s="192">
        <f t="shared" si="50"/>
        <v>-771.76221552689594</v>
      </c>
    </row>
    <row r="171" spans="1:19" x14ac:dyDescent="0.25">
      <c r="A171" s="149">
        <v>8</v>
      </c>
      <c r="B171" s="184">
        <f t="shared" si="45"/>
        <v>45139</v>
      </c>
      <c r="C171" s="205">
        <f t="shared" si="51"/>
        <v>45174</v>
      </c>
      <c r="D171" s="205">
        <f t="shared" si="51"/>
        <v>45194</v>
      </c>
      <c r="E171" s="213" t="s">
        <v>55</v>
      </c>
      <c r="F171" s="112">
        <v>9</v>
      </c>
      <c r="G171" s="186">
        <v>13</v>
      </c>
      <c r="H171" s="187">
        <f t="shared" si="46"/>
        <v>970.91</v>
      </c>
      <c r="I171" s="187">
        <f t="shared" si="44"/>
        <v>919.96</v>
      </c>
      <c r="J171" s="188">
        <f t="shared" si="47"/>
        <v>11959.48</v>
      </c>
      <c r="K171" s="195">
        <f t="shared" si="41"/>
        <v>12621.83</v>
      </c>
      <c r="L171" s="194">
        <f t="shared" si="53"/>
        <v>-662.35000000000036</v>
      </c>
      <c r="M171" s="191">
        <f t="shared" si="48"/>
        <v>-54.286342989261229</v>
      </c>
      <c r="N171" s="192">
        <f t="shared" si="49"/>
        <v>-716.63634298926161</v>
      </c>
      <c r="O171" s="191">
        <v>0</v>
      </c>
      <c r="P171" s="191">
        <v>0</v>
      </c>
      <c r="Q171" s="191">
        <v>0</v>
      </c>
      <c r="R171" s="192">
        <f t="shared" si="50"/>
        <v>-716.63634298926161</v>
      </c>
      <c r="S171" s="50"/>
    </row>
    <row r="172" spans="1:19" x14ac:dyDescent="0.25">
      <c r="A172" s="149">
        <v>9</v>
      </c>
      <c r="B172" s="184">
        <f t="shared" si="45"/>
        <v>45170</v>
      </c>
      <c r="C172" s="205">
        <f t="shared" ref="C172:D175" si="54">+C160</f>
        <v>45203</v>
      </c>
      <c r="D172" s="205">
        <f t="shared" si="54"/>
        <v>45223</v>
      </c>
      <c r="E172" s="213" t="s">
        <v>55</v>
      </c>
      <c r="F172" s="112">
        <v>9</v>
      </c>
      <c r="G172" s="186">
        <v>13</v>
      </c>
      <c r="H172" s="187">
        <f t="shared" si="46"/>
        <v>970.91</v>
      </c>
      <c r="I172" s="187">
        <f t="shared" si="44"/>
        <v>919.96</v>
      </c>
      <c r="J172" s="188">
        <f t="shared" si="47"/>
        <v>11959.48</v>
      </c>
      <c r="K172" s="195">
        <f t="shared" si="41"/>
        <v>12621.83</v>
      </c>
      <c r="L172" s="194">
        <f t="shared" si="53"/>
        <v>-662.35000000000036</v>
      </c>
      <c r="M172" s="191">
        <f t="shared" si="48"/>
        <v>-54.286342989261229</v>
      </c>
      <c r="N172" s="192">
        <f t="shared" si="49"/>
        <v>-716.63634298926161</v>
      </c>
      <c r="O172" s="191">
        <v>0</v>
      </c>
      <c r="P172" s="191">
        <v>0</v>
      </c>
      <c r="Q172" s="191">
        <v>0</v>
      </c>
      <c r="R172" s="192">
        <f t="shared" si="50"/>
        <v>-716.63634298926161</v>
      </c>
    </row>
    <row r="173" spans="1:19" x14ac:dyDescent="0.25">
      <c r="A173" s="112">
        <v>10</v>
      </c>
      <c r="B173" s="184">
        <f t="shared" si="45"/>
        <v>45200</v>
      </c>
      <c r="C173" s="205">
        <f t="shared" si="54"/>
        <v>45233</v>
      </c>
      <c r="D173" s="205">
        <f t="shared" si="54"/>
        <v>45254</v>
      </c>
      <c r="E173" s="213" t="s">
        <v>55</v>
      </c>
      <c r="F173" s="112">
        <v>9</v>
      </c>
      <c r="G173" s="186">
        <v>11</v>
      </c>
      <c r="H173" s="187">
        <f t="shared" si="46"/>
        <v>970.91</v>
      </c>
      <c r="I173" s="187">
        <f t="shared" si="44"/>
        <v>919.96</v>
      </c>
      <c r="J173" s="188">
        <f t="shared" si="47"/>
        <v>10119.560000000001</v>
      </c>
      <c r="K173" s="195">
        <f t="shared" si="41"/>
        <v>10680.01</v>
      </c>
      <c r="L173" s="194">
        <f t="shared" si="53"/>
        <v>-560.44999999999891</v>
      </c>
      <c r="M173" s="191">
        <f t="shared" si="48"/>
        <v>-45.934597913990281</v>
      </c>
      <c r="N173" s="192">
        <f t="shared" si="49"/>
        <v>-606.38459791398918</v>
      </c>
      <c r="O173" s="191">
        <v>0</v>
      </c>
      <c r="P173" s="191">
        <v>0</v>
      </c>
      <c r="Q173" s="191">
        <v>0</v>
      </c>
      <c r="R173" s="192">
        <f t="shared" si="50"/>
        <v>-606.38459791398918</v>
      </c>
    </row>
    <row r="174" spans="1:19" x14ac:dyDescent="0.25">
      <c r="A174" s="149">
        <v>11</v>
      </c>
      <c r="B174" s="184">
        <f t="shared" si="45"/>
        <v>45231</v>
      </c>
      <c r="C174" s="205">
        <f t="shared" si="54"/>
        <v>45265</v>
      </c>
      <c r="D174" s="205">
        <f t="shared" si="54"/>
        <v>45285</v>
      </c>
      <c r="E174" s="213" t="s">
        <v>55</v>
      </c>
      <c r="F174" s="112">
        <v>9</v>
      </c>
      <c r="G174" s="186">
        <v>7</v>
      </c>
      <c r="H174" s="187">
        <f t="shared" si="46"/>
        <v>970.91</v>
      </c>
      <c r="I174" s="187">
        <f t="shared" si="44"/>
        <v>919.96</v>
      </c>
      <c r="J174" s="188">
        <f t="shared" si="47"/>
        <v>6439.72</v>
      </c>
      <c r="K174" s="195">
        <f t="shared" si="41"/>
        <v>6796.37</v>
      </c>
      <c r="L174" s="194">
        <f t="shared" si="53"/>
        <v>-356.64999999999964</v>
      </c>
      <c r="M174" s="191">
        <f t="shared" si="48"/>
        <v>-29.231107763448357</v>
      </c>
      <c r="N174" s="192">
        <f t="shared" si="49"/>
        <v>-385.88110776344797</v>
      </c>
      <c r="O174" s="191">
        <v>0</v>
      </c>
      <c r="P174" s="191">
        <v>0</v>
      </c>
      <c r="Q174" s="191">
        <v>0</v>
      </c>
      <c r="R174" s="192">
        <f t="shared" si="50"/>
        <v>-385.88110776344797</v>
      </c>
    </row>
    <row r="175" spans="1:19" s="209" customFormat="1" x14ac:dyDescent="0.25">
      <c r="A175" s="149">
        <v>12</v>
      </c>
      <c r="B175" s="207">
        <f t="shared" si="45"/>
        <v>45261</v>
      </c>
      <c r="C175" s="205">
        <f t="shared" si="54"/>
        <v>45294</v>
      </c>
      <c r="D175" s="205">
        <f t="shared" si="54"/>
        <v>45315</v>
      </c>
      <c r="E175" s="214" t="s">
        <v>55</v>
      </c>
      <c r="F175" s="160">
        <v>9</v>
      </c>
      <c r="G175" s="186">
        <v>8</v>
      </c>
      <c r="H175" s="197">
        <f t="shared" si="46"/>
        <v>970.91</v>
      </c>
      <c r="I175" s="197">
        <f t="shared" si="44"/>
        <v>919.96</v>
      </c>
      <c r="J175" s="198">
        <f t="shared" si="47"/>
        <v>7359.68</v>
      </c>
      <c r="K175" s="199">
        <f t="shared" si="41"/>
        <v>7767.28</v>
      </c>
      <c r="L175" s="200">
        <f t="shared" si="53"/>
        <v>-407.59999999999945</v>
      </c>
      <c r="M175" s="198">
        <f t="shared" si="48"/>
        <v>-33.406980301083834</v>
      </c>
      <c r="N175" s="223">
        <f t="shared" si="49"/>
        <v>-441.00698030108327</v>
      </c>
      <c r="O175" s="198">
        <v>0</v>
      </c>
      <c r="P175" s="198">
        <v>0</v>
      </c>
      <c r="Q175" s="198">
        <v>0</v>
      </c>
      <c r="R175" s="223">
        <f t="shared" si="50"/>
        <v>-441.00698030108327</v>
      </c>
    </row>
    <row r="176" spans="1:19" x14ac:dyDescent="0.25">
      <c r="A176" s="112">
        <v>1</v>
      </c>
      <c r="B176" s="184">
        <f t="shared" si="45"/>
        <v>44927</v>
      </c>
      <c r="C176" s="202">
        <f t="shared" ref="C176:D187" si="55">+C152</f>
        <v>44960</v>
      </c>
      <c r="D176" s="202">
        <f t="shared" si="55"/>
        <v>44981</v>
      </c>
      <c r="E176" s="212" t="s">
        <v>56</v>
      </c>
      <c r="F176" s="149">
        <v>9</v>
      </c>
      <c r="G176" s="186">
        <v>21</v>
      </c>
      <c r="H176" s="187">
        <f t="shared" si="46"/>
        <v>970.91</v>
      </c>
      <c r="I176" s="187">
        <f t="shared" si="44"/>
        <v>919.96</v>
      </c>
      <c r="J176" s="188">
        <f t="shared" si="47"/>
        <v>19319.16</v>
      </c>
      <c r="K176" s="189">
        <f t="shared" si="41"/>
        <v>20389.11</v>
      </c>
      <c r="L176" s="190">
        <f t="shared" si="53"/>
        <v>-1069.9500000000007</v>
      </c>
      <c r="M176" s="191">
        <f t="shared" si="48"/>
        <v>-87.693323290345063</v>
      </c>
      <c r="N176" s="192">
        <f t="shared" si="49"/>
        <v>-1157.6433232903457</v>
      </c>
      <c r="O176" s="191">
        <v>0</v>
      </c>
      <c r="P176" s="191">
        <v>0</v>
      </c>
      <c r="Q176" s="191">
        <v>0</v>
      </c>
      <c r="R176" s="192">
        <f t="shared" si="50"/>
        <v>-1157.6433232903457</v>
      </c>
    </row>
    <row r="177" spans="1:18" x14ac:dyDescent="0.25">
      <c r="A177" s="149">
        <v>2</v>
      </c>
      <c r="B177" s="184">
        <f t="shared" si="45"/>
        <v>44958</v>
      </c>
      <c r="C177" s="205">
        <f t="shared" si="55"/>
        <v>44988</v>
      </c>
      <c r="D177" s="205">
        <f t="shared" si="55"/>
        <v>45009</v>
      </c>
      <c r="E177" s="52" t="s">
        <v>56</v>
      </c>
      <c r="F177" s="149">
        <v>9</v>
      </c>
      <c r="G177" s="186">
        <v>21</v>
      </c>
      <c r="H177" s="187">
        <f t="shared" si="46"/>
        <v>970.91</v>
      </c>
      <c r="I177" s="187">
        <f t="shared" si="44"/>
        <v>919.96</v>
      </c>
      <c r="J177" s="188">
        <f t="shared" si="47"/>
        <v>19319.16</v>
      </c>
      <c r="K177" s="189">
        <f t="shared" si="41"/>
        <v>20389.11</v>
      </c>
      <c r="L177" s="190">
        <f t="shared" si="53"/>
        <v>-1069.9500000000007</v>
      </c>
      <c r="M177" s="191">
        <f t="shared" si="48"/>
        <v>-87.693323290345063</v>
      </c>
      <c r="N177" s="192">
        <f t="shared" si="49"/>
        <v>-1157.6433232903457</v>
      </c>
      <c r="O177" s="191">
        <v>0</v>
      </c>
      <c r="P177" s="191">
        <v>0</v>
      </c>
      <c r="Q177" s="191">
        <v>0</v>
      </c>
      <c r="R177" s="192">
        <f t="shared" si="50"/>
        <v>-1157.6433232903457</v>
      </c>
    </row>
    <row r="178" spans="1:18" x14ac:dyDescent="0.25">
      <c r="A178" s="149">
        <v>3</v>
      </c>
      <c r="B178" s="184">
        <f t="shared" si="45"/>
        <v>44986</v>
      </c>
      <c r="C178" s="205">
        <f t="shared" si="55"/>
        <v>45021</v>
      </c>
      <c r="D178" s="205">
        <f t="shared" si="55"/>
        <v>45040</v>
      </c>
      <c r="E178" s="52" t="s">
        <v>56</v>
      </c>
      <c r="F178" s="149">
        <v>9</v>
      </c>
      <c r="G178" s="186">
        <v>19</v>
      </c>
      <c r="H178" s="187">
        <f t="shared" si="46"/>
        <v>970.91</v>
      </c>
      <c r="I178" s="187">
        <f t="shared" si="44"/>
        <v>919.96</v>
      </c>
      <c r="J178" s="188">
        <f t="shared" si="47"/>
        <v>17479.240000000002</v>
      </c>
      <c r="K178" s="189">
        <f t="shared" si="41"/>
        <v>18447.29</v>
      </c>
      <c r="L178" s="190">
        <f>+J178-K178</f>
        <v>-968.04999999999927</v>
      </c>
      <c r="M178" s="191">
        <f t="shared" si="48"/>
        <v>-79.341578215074122</v>
      </c>
      <c r="N178" s="192">
        <f t="shared" si="49"/>
        <v>-1047.3915782150734</v>
      </c>
      <c r="O178" s="191">
        <v>0</v>
      </c>
      <c r="P178" s="191">
        <v>0</v>
      </c>
      <c r="Q178" s="191">
        <v>0</v>
      </c>
      <c r="R178" s="192">
        <f t="shared" si="50"/>
        <v>-1047.3915782150734</v>
      </c>
    </row>
    <row r="179" spans="1:18" x14ac:dyDescent="0.25">
      <c r="A179" s="112">
        <v>4</v>
      </c>
      <c r="B179" s="184">
        <f t="shared" si="45"/>
        <v>45017</v>
      </c>
      <c r="C179" s="205">
        <f t="shared" si="55"/>
        <v>45049</v>
      </c>
      <c r="D179" s="205">
        <f t="shared" si="55"/>
        <v>45070</v>
      </c>
      <c r="E179" s="52" t="s">
        <v>56</v>
      </c>
      <c r="F179" s="149">
        <v>9</v>
      </c>
      <c r="G179" s="186">
        <v>21</v>
      </c>
      <c r="H179" s="187">
        <f t="shared" si="46"/>
        <v>970.91</v>
      </c>
      <c r="I179" s="187">
        <f t="shared" si="44"/>
        <v>919.96</v>
      </c>
      <c r="J179" s="188">
        <f t="shared" si="47"/>
        <v>19319.16</v>
      </c>
      <c r="K179" s="189">
        <f t="shared" si="41"/>
        <v>20389.11</v>
      </c>
      <c r="L179" s="190">
        <f t="shared" ref="L179:L189" si="56">+J179-K179</f>
        <v>-1069.9500000000007</v>
      </c>
      <c r="M179" s="191">
        <f t="shared" si="48"/>
        <v>-87.693323290345063</v>
      </c>
      <c r="N179" s="192">
        <f t="shared" si="49"/>
        <v>-1157.6433232903457</v>
      </c>
      <c r="O179" s="191">
        <v>0</v>
      </c>
      <c r="P179" s="191">
        <v>0</v>
      </c>
      <c r="Q179" s="191">
        <v>0</v>
      </c>
      <c r="R179" s="192">
        <f t="shared" si="50"/>
        <v>-1157.6433232903457</v>
      </c>
    </row>
    <row r="180" spans="1:18" x14ac:dyDescent="0.25">
      <c r="A180" s="149">
        <v>5</v>
      </c>
      <c r="B180" s="184">
        <f t="shared" si="45"/>
        <v>45047</v>
      </c>
      <c r="C180" s="205">
        <f t="shared" si="55"/>
        <v>45082</v>
      </c>
      <c r="D180" s="205">
        <f t="shared" si="55"/>
        <v>45103</v>
      </c>
      <c r="E180" s="52" t="s">
        <v>56</v>
      </c>
      <c r="F180" s="149">
        <v>9</v>
      </c>
      <c r="G180" s="186">
        <v>28</v>
      </c>
      <c r="H180" s="187">
        <f t="shared" si="46"/>
        <v>970.91</v>
      </c>
      <c r="I180" s="187">
        <f t="shared" ref="I180:I211" si="57">$J$3</f>
        <v>919.96</v>
      </c>
      <c r="J180" s="188">
        <f t="shared" si="47"/>
        <v>25758.880000000001</v>
      </c>
      <c r="K180" s="189">
        <f t="shared" si="41"/>
        <v>27185.48</v>
      </c>
      <c r="L180" s="190">
        <f t="shared" si="56"/>
        <v>-1426.5999999999985</v>
      </c>
      <c r="M180" s="191">
        <f t="shared" si="48"/>
        <v>-116.92443105379343</v>
      </c>
      <c r="N180" s="192">
        <f t="shared" si="49"/>
        <v>-1543.5244310537919</v>
      </c>
      <c r="O180" s="191">
        <v>0</v>
      </c>
      <c r="P180" s="191">
        <v>0</v>
      </c>
      <c r="Q180" s="191">
        <v>0</v>
      </c>
      <c r="R180" s="192">
        <f t="shared" si="50"/>
        <v>-1543.5244310537919</v>
      </c>
    </row>
    <row r="181" spans="1:18" x14ac:dyDescent="0.25">
      <c r="A181" s="149">
        <v>6</v>
      </c>
      <c r="B181" s="184">
        <f t="shared" si="45"/>
        <v>45078</v>
      </c>
      <c r="C181" s="205">
        <f t="shared" si="55"/>
        <v>45112</v>
      </c>
      <c r="D181" s="205">
        <f t="shared" si="55"/>
        <v>45131</v>
      </c>
      <c r="E181" s="52" t="s">
        <v>56</v>
      </c>
      <c r="F181" s="149">
        <v>9</v>
      </c>
      <c r="G181" s="186">
        <v>37</v>
      </c>
      <c r="H181" s="187">
        <f t="shared" si="46"/>
        <v>970.91</v>
      </c>
      <c r="I181" s="187">
        <f t="shared" si="57"/>
        <v>919.96</v>
      </c>
      <c r="J181" s="188">
        <f t="shared" si="47"/>
        <v>34038.520000000004</v>
      </c>
      <c r="K181" s="189">
        <f t="shared" si="41"/>
        <v>35923.67</v>
      </c>
      <c r="L181" s="194">
        <f t="shared" si="56"/>
        <v>-1885.1499999999942</v>
      </c>
      <c r="M181" s="191">
        <f t="shared" si="48"/>
        <v>-154.50728389251273</v>
      </c>
      <c r="N181" s="192">
        <f t="shared" si="49"/>
        <v>-2039.6572838925069</v>
      </c>
      <c r="O181" s="191">
        <v>0</v>
      </c>
      <c r="P181" s="191">
        <v>0</v>
      </c>
      <c r="Q181" s="191">
        <v>0</v>
      </c>
      <c r="R181" s="192">
        <f t="shared" si="50"/>
        <v>-2039.6572838925069</v>
      </c>
    </row>
    <row r="182" spans="1:18" x14ac:dyDescent="0.25">
      <c r="A182" s="112">
        <v>7</v>
      </c>
      <c r="B182" s="184">
        <f t="shared" si="45"/>
        <v>45108</v>
      </c>
      <c r="C182" s="205">
        <f t="shared" si="55"/>
        <v>45141</v>
      </c>
      <c r="D182" s="205">
        <f t="shared" si="55"/>
        <v>45162</v>
      </c>
      <c r="E182" s="52" t="s">
        <v>56</v>
      </c>
      <c r="F182" s="149">
        <v>9</v>
      </c>
      <c r="G182" s="186">
        <v>38</v>
      </c>
      <c r="H182" s="187">
        <f t="shared" si="46"/>
        <v>970.91</v>
      </c>
      <c r="I182" s="187">
        <f t="shared" si="57"/>
        <v>919.96</v>
      </c>
      <c r="J182" s="188">
        <f t="shared" si="47"/>
        <v>34958.480000000003</v>
      </c>
      <c r="K182" s="195">
        <f t="shared" si="41"/>
        <v>36894.58</v>
      </c>
      <c r="L182" s="194">
        <f t="shared" si="56"/>
        <v>-1936.0999999999985</v>
      </c>
      <c r="M182" s="191">
        <f t="shared" si="48"/>
        <v>-158.68315643014824</v>
      </c>
      <c r="N182" s="192">
        <f t="shared" si="49"/>
        <v>-2094.7831564301468</v>
      </c>
      <c r="O182" s="191">
        <v>0</v>
      </c>
      <c r="P182" s="191">
        <v>0</v>
      </c>
      <c r="Q182" s="191">
        <v>0</v>
      </c>
      <c r="R182" s="192">
        <f t="shared" si="50"/>
        <v>-2094.7831564301468</v>
      </c>
    </row>
    <row r="183" spans="1:18" x14ac:dyDescent="0.25">
      <c r="A183" s="149">
        <v>8</v>
      </c>
      <c r="B183" s="184">
        <f t="shared" si="45"/>
        <v>45139</v>
      </c>
      <c r="C183" s="205">
        <f t="shared" si="55"/>
        <v>45174</v>
      </c>
      <c r="D183" s="205">
        <f t="shared" si="55"/>
        <v>45194</v>
      </c>
      <c r="E183" s="52" t="s">
        <v>56</v>
      </c>
      <c r="F183" s="149">
        <v>9</v>
      </c>
      <c r="G183" s="186">
        <v>40</v>
      </c>
      <c r="H183" s="187">
        <f t="shared" si="46"/>
        <v>970.91</v>
      </c>
      <c r="I183" s="187">
        <f t="shared" si="57"/>
        <v>919.96</v>
      </c>
      <c r="J183" s="188">
        <f t="shared" si="47"/>
        <v>36798.400000000001</v>
      </c>
      <c r="K183" s="195">
        <f t="shared" si="41"/>
        <v>38836.400000000001</v>
      </c>
      <c r="L183" s="194">
        <f t="shared" si="56"/>
        <v>-2038</v>
      </c>
      <c r="M183" s="191">
        <f t="shared" si="48"/>
        <v>-167.03490150541919</v>
      </c>
      <c r="N183" s="192">
        <f t="shared" si="49"/>
        <v>-2205.0349015054194</v>
      </c>
      <c r="O183" s="191">
        <v>0</v>
      </c>
      <c r="P183" s="191">
        <v>0</v>
      </c>
      <c r="Q183" s="191">
        <v>0</v>
      </c>
      <c r="R183" s="192">
        <f t="shared" si="50"/>
        <v>-2205.0349015054194</v>
      </c>
    </row>
    <row r="184" spans="1:18" x14ac:dyDescent="0.25">
      <c r="A184" s="149">
        <v>9</v>
      </c>
      <c r="B184" s="184">
        <f t="shared" si="45"/>
        <v>45170</v>
      </c>
      <c r="C184" s="205">
        <f t="shared" si="55"/>
        <v>45203</v>
      </c>
      <c r="D184" s="205">
        <f t="shared" si="55"/>
        <v>45223</v>
      </c>
      <c r="E184" s="52" t="s">
        <v>56</v>
      </c>
      <c r="F184" s="149">
        <v>9</v>
      </c>
      <c r="G184" s="186">
        <v>37</v>
      </c>
      <c r="H184" s="187">
        <f t="shared" si="46"/>
        <v>970.91</v>
      </c>
      <c r="I184" s="187">
        <f t="shared" si="57"/>
        <v>919.96</v>
      </c>
      <c r="J184" s="188">
        <f t="shared" si="47"/>
        <v>34038.520000000004</v>
      </c>
      <c r="K184" s="195">
        <f t="shared" si="41"/>
        <v>35923.67</v>
      </c>
      <c r="L184" s="194">
        <f t="shared" si="56"/>
        <v>-1885.1499999999942</v>
      </c>
      <c r="M184" s="191">
        <f t="shared" si="48"/>
        <v>-154.50728389251273</v>
      </c>
      <c r="N184" s="192">
        <f t="shared" si="49"/>
        <v>-2039.6572838925069</v>
      </c>
      <c r="O184" s="191">
        <v>0</v>
      </c>
      <c r="P184" s="191">
        <v>0</v>
      </c>
      <c r="Q184" s="191">
        <v>0</v>
      </c>
      <c r="R184" s="192">
        <f t="shared" si="50"/>
        <v>-2039.6572838925069</v>
      </c>
    </row>
    <row r="185" spans="1:18" x14ac:dyDescent="0.25">
      <c r="A185" s="112">
        <v>10</v>
      </c>
      <c r="B185" s="184">
        <f t="shared" si="45"/>
        <v>45200</v>
      </c>
      <c r="C185" s="205">
        <f t="shared" si="55"/>
        <v>45233</v>
      </c>
      <c r="D185" s="205">
        <f t="shared" si="55"/>
        <v>45254</v>
      </c>
      <c r="E185" s="52" t="s">
        <v>56</v>
      </c>
      <c r="F185" s="149">
        <v>9</v>
      </c>
      <c r="G185" s="186">
        <v>30</v>
      </c>
      <c r="H185" s="187">
        <f t="shared" si="46"/>
        <v>970.91</v>
      </c>
      <c r="I185" s="187">
        <f t="shared" si="57"/>
        <v>919.96</v>
      </c>
      <c r="J185" s="188">
        <f t="shared" si="47"/>
        <v>27598.800000000003</v>
      </c>
      <c r="K185" s="195">
        <f t="shared" si="41"/>
        <v>29127.3</v>
      </c>
      <c r="L185" s="194">
        <f t="shared" si="56"/>
        <v>-1528.4999999999964</v>
      </c>
      <c r="M185" s="191">
        <f t="shared" si="48"/>
        <v>-125.27617612906438</v>
      </c>
      <c r="N185" s="192">
        <f t="shared" si="49"/>
        <v>-1653.7761761290608</v>
      </c>
      <c r="O185" s="191">
        <v>0</v>
      </c>
      <c r="P185" s="191">
        <v>0</v>
      </c>
      <c r="Q185" s="191">
        <v>0</v>
      </c>
      <c r="R185" s="192">
        <f t="shared" si="50"/>
        <v>-1653.7761761290608</v>
      </c>
    </row>
    <row r="186" spans="1:18" x14ac:dyDescent="0.25">
      <c r="A186" s="149">
        <v>11</v>
      </c>
      <c r="B186" s="184">
        <f t="shared" si="45"/>
        <v>45231</v>
      </c>
      <c r="C186" s="205">
        <f t="shared" si="55"/>
        <v>45265</v>
      </c>
      <c r="D186" s="205">
        <f t="shared" si="55"/>
        <v>45285</v>
      </c>
      <c r="E186" s="52" t="s">
        <v>56</v>
      </c>
      <c r="F186" s="149">
        <v>9</v>
      </c>
      <c r="G186" s="186">
        <v>19</v>
      </c>
      <c r="H186" s="187">
        <f t="shared" si="46"/>
        <v>970.91</v>
      </c>
      <c r="I186" s="187">
        <f t="shared" si="57"/>
        <v>919.96</v>
      </c>
      <c r="J186" s="188">
        <f t="shared" si="47"/>
        <v>17479.240000000002</v>
      </c>
      <c r="K186" s="195">
        <f t="shared" si="41"/>
        <v>18447.29</v>
      </c>
      <c r="L186" s="194">
        <f t="shared" si="56"/>
        <v>-968.04999999999927</v>
      </c>
      <c r="M186" s="191">
        <f t="shared" si="48"/>
        <v>-79.341578215074122</v>
      </c>
      <c r="N186" s="192">
        <f t="shared" si="49"/>
        <v>-1047.3915782150734</v>
      </c>
      <c r="O186" s="191">
        <v>0</v>
      </c>
      <c r="P186" s="191">
        <v>0</v>
      </c>
      <c r="Q186" s="191">
        <v>0</v>
      </c>
      <c r="R186" s="192">
        <f t="shared" si="50"/>
        <v>-1047.3915782150734</v>
      </c>
    </row>
    <row r="187" spans="1:18" s="209" customFormat="1" x14ac:dyDescent="0.25">
      <c r="A187" s="149">
        <v>12</v>
      </c>
      <c r="B187" s="207">
        <f t="shared" si="45"/>
        <v>45261</v>
      </c>
      <c r="C187" s="210">
        <f t="shared" si="55"/>
        <v>45294</v>
      </c>
      <c r="D187" s="210">
        <f t="shared" si="55"/>
        <v>45315</v>
      </c>
      <c r="E187" s="208" t="s">
        <v>56</v>
      </c>
      <c r="F187" s="160">
        <v>9</v>
      </c>
      <c r="G187" s="186">
        <v>20</v>
      </c>
      <c r="H187" s="197">
        <f t="shared" si="46"/>
        <v>970.91</v>
      </c>
      <c r="I187" s="197">
        <f t="shared" si="57"/>
        <v>919.96</v>
      </c>
      <c r="J187" s="198">
        <f t="shared" si="47"/>
        <v>18399.2</v>
      </c>
      <c r="K187" s="199">
        <f t="shared" si="41"/>
        <v>19418.2</v>
      </c>
      <c r="L187" s="200">
        <f t="shared" si="56"/>
        <v>-1019</v>
      </c>
      <c r="M187" s="198">
        <f t="shared" si="48"/>
        <v>-83.517450752709593</v>
      </c>
      <c r="N187" s="223">
        <f t="shared" si="49"/>
        <v>-1102.5174507527097</v>
      </c>
      <c r="O187" s="198">
        <v>0</v>
      </c>
      <c r="P187" s="198">
        <v>0</v>
      </c>
      <c r="Q187" s="198">
        <v>0</v>
      </c>
      <c r="R187" s="223">
        <f t="shared" si="50"/>
        <v>-1102.5174507527097</v>
      </c>
    </row>
    <row r="188" spans="1:18" x14ac:dyDescent="0.25">
      <c r="A188" s="112">
        <v>1</v>
      </c>
      <c r="B188" s="184">
        <f t="shared" si="45"/>
        <v>44927</v>
      </c>
      <c r="C188" s="205">
        <f t="shared" ref="C188:D211" si="58">+C176</f>
        <v>44960</v>
      </c>
      <c r="D188" s="205">
        <f t="shared" si="58"/>
        <v>44981</v>
      </c>
      <c r="E188" s="185" t="s">
        <v>57</v>
      </c>
      <c r="F188" s="112">
        <v>9</v>
      </c>
      <c r="G188" s="186">
        <v>36</v>
      </c>
      <c r="H188" s="187">
        <f t="shared" si="46"/>
        <v>970.91</v>
      </c>
      <c r="I188" s="187">
        <f t="shared" si="57"/>
        <v>919.96</v>
      </c>
      <c r="J188" s="188">
        <f t="shared" si="47"/>
        <v>33118.559999999998</v>
      </c>
      <c r="K188" s="189">
        <f t="shared" si="41"/>
        <v>34952.76</v>
      </c>
      <c r="L188" s="190">
        <f t="shared" si="56"/>
        <v>-1834.2000000000044</v>
      </c>
      <c r="M188" s="191">
        <f t="shared" si="48"/>
        <v>-150.33141135487725</v>
      </c>
      <c r="N188" s="192">
        <f t="shared" si="49"/>
        <v>-1984.5314113548816</v>
      </c>
      <c r="O188" s="191">
        <v>0</v>
      </c>
      <c r="P188" s="191">
        <v>0</v>
      </c>
      <c r="Q188" s="191">
        <v>0</v>
      </c>
      <c r="R188" s="192">
        <f t="shared" si="50"/>
        <v>-1984.5314113548816</v>
      </c>
    </row>
    <row r="189" spans="1:18" x14ac:dyDescent="0.25">
      <c r="A189" s="149">
        <v>2</v>
      </c>
      <c r="B189" s="184">
        <f t="shared" si="45"/>
        <v>44958</v>
      </c>
      <c r="C189" s="205">
        <f t="shared" si="58"/>
        <v>44988</v>
      </c>
      <c r="D189" s="205">
        <f t="shared" si="58"/>
        <v>45009</v>
      </c>
      <c r="E189" s="193" t="s">
        <v>57</v>
      </c>
      <c r="F189" s="149">
        <v>9</v>
      </c>
      <c r="G189" s="186">
        <v>32</v>
      </c>
      <c r="H189" s="187">
        <f t="shared" si="46"/>
        <v>970.91</v>
      </c>
      <c r="I189" s="187">
        <f t="shared" si="57"/>
        <v>919.96</v>
      </c>
      <c r="J189" s="188">
        <f t="shared" si="47"/>
        <v>29438.720000000001</v>
      </c>
      <c r="K189" s="189">
        <f t="shared" si="41"/>
        <v>31069.119999999999</v>
      </c>
      <c r="L189" s="190">
        <f t="shared" si="56"/>
        <v>-1630.3999999999978</v>
      </c>
      <c r="M189" s="191">
        <f t="shared" si="48"/>
        <v>-133.62792120433534</v>
      </c>
      <c r="N189" s="192">
        <f t="shared" si="49"/>
        <v>-1764.0279212043331</v>
      </c>
      <c r="O189" s="191">
        <v>0</v>
      </c>
      <c r="P189" s="191">
        <v>0</v>
      </c>
      <c r="Q189" s="191">
        <v>0</v>
      </c>
      <c r="R189" s="192">
        <f t="shared" si="50"/>
        <v>-1764.0279212043331</v>
      </c>
    </row>
    <row r="190" spans="1:18" x14ac:dyDescent="0.25">
      <c r="A190" s="149">
        <v>3</v>
      </c>
      <c r="B190" s="184">
        <f t="shared" si="45"/>
        <v>44986</v>
      </c>
      <c r="C190" s="205">
        <f t="shared" si="58"/>
        <v>45021</v>
      </c>
      <c r="D190" s="205">
        <f t="shared" si="58"/>
        <v>45040</v>
      </c>
      <c r="E190" s="193" t="s">
        <v>57</v>
      </c>
      <c r="F190" s="149">
        <v>9</v>
      </c>
      <c r="G190" s="186">
        <v>32</v>
      </c>
      <c r="H190" s="187">
        <f t="shared" si="46"/>
        <v>970.91</v>
      </c>
      <c r="I190" s="187">
        <f t="shared" si="57"/>
        <v>919.96</v>
      </c>
      <c r="J190" s="188">
        <f t="shared" si="47"/>
        <v>29438.720000000001</v>
      </c>
      <c r="K190" s="189">
        <f t="shared" si="41"/>
        <v>31069.119999999999</v>
      </c>
      <c r="L190" s="190">
        <f>+J190-K190</f>
        <v>-1630.3999999999978</v>
      </c>
      <c r="M190" s="191">
        <f t="shared" si="48"/>
        <v>-133.62792120433534</v>
      </c>
      <c r="N190" s="192">
        <f t="shared" si="49"/>
        <v>-1764.0279212043331</v>
      </c>
      <c r="O190" s="191">
        <v>0</v>
      </c>
      <c r="P190" s="191">
        <v>0</v>
      </c>
      <c r="Q190" s="191">
        <v>0</v>
      </c>
      <c r="R190" s="192">
        <f t="shared" si="50"/>
        <v>-1764.0279212043331</v>
      </c>
    </row>
    <row r="191" spans="1:18" x14ac:dyDescent="0.25">
      <c r="A191" s="112">
        <v>4</v>
      </c>
      <c r="B191" s="184">
        <f t="shared" si="45"/>
        <v>45017</v>
      </c>
      <c r="C191" s="205">
        <f t="shared" si="58"/>
        <v>45049</v>
      </c>
      <c r="D191" s="205">
        <f t="shared" si="58"/>
        <v>45070</v>
      </c>
      <c r="E191" s="52" t="s">
        <v>57</v>
      </c>
      <c r="F191" s="149">
        <v>9</v>
      </c>
      <c r="G191" s="186">
        <v>31</v>
      </c>
      <c r="H191" s="187">
        <f t="shared" si="46"/>
        <v>970.91</v>
      </c>
      <c r="I191" s="187">
        <f t="shared" si="57"/>
        <v>919.96</v>
      </c>
      <c r="J191" s="188">
        <f t="shared" si="47"/>
        <v>28518.760000000002</v>
      </c>
      <c r="K191" s="189">
        <f t="shared" si="41"/>
        <v>30098.21</v>
      </c>
      <c r="L191" s="190">
        <f t="shared" ref="L191:L201" si="59">+J191-K191</f>
        <v>-1579.4499999999971</v>
      </c>
      <c r="M191" s="191">
        <f t="shared" si="48"/>
        <v>-129.45204866669985</v>
      </c>
      <c r="N191" s="192">
        <f t="shared" si="49"/>
        <v>-1708.9020486666968</v>
      </c>
      <c r="O191" s="191">
        <v>0</v>
      </c>
      <c r="P191" s="191">
        <v>0</v>
      </c>
      <c r="Q191" s="191">
        <v>0</v>
      </c>
      <c r="R191" s="192">
        <f t="shared" si="50"/>
        <v>-1708.9020486666968</v>
      </c>
    </row>
    <row r="192" spans="1:18" x14ac:dyDescent="0.25">
      <c r="A192" s="149">
        <v>5</v>
      </c>
      <c r="B192" s="184">
        <f t="shared" si="45"/>
        <v>45047</v>
      </c>
      <c r="C192" s="205">
        <f t="shared" si="58"/>
        <v>45082</v>
      </c>
      <c r="D192" s="205">
        <f t="shared" si="58"/>
        <v>45103</v>
      </c>
      <c r="E192" s="52" t="s">
        <v>57</v>
      </c>
      <c r="F192" s="149">
        <v>9</v>
      </c>
      <c r="G192" s="186">
        <v>38</v>
      </c>
      <c r="H192" s="187">
        <f t="shared" si="46"/>
        <v>970.91</v>
      </c>
      <c r="I192" s="187">
        <f t="shared" si="57"/>
        <v>919.96</v>
      </c>
      <c r="J192" s="188">
        <f t="shared" si="47"/>
        <v>34958.480000000003</v>
      </c>
      <c r="K192" s="189">
        <f t="shared" si="41"/>
        <v>36894.58</v>
      </c>
      <c r="L192" s="190">
        <f t="shared" si="59"/>
        <v>-1936.0999999999985</v>
      </c>
      <c r="M192" s="191">
        <f t="shared" si="48"/>
        <v>-158.68315643014824</v>
      </c>
      <c r="N192" s="192">
        <f t="shared" si="49"/>
        <v>-2094.7831564301468</v>
      </c>
      <c r="O192" s="191">
        <v>0</v>
      </c>
      <c r="P192" s="191">
        <v>0</v>
      </c>
      <c r="Q192" s="191">
        <v>0</v>
      </c>
      <c r="R192" s="192">
        <f t="shared" si="50"/>
        <v>-2094.7831564301468</v>
      </c>
    </row>
    <row r="193" spans="1:18" x14ac:dyDescent="0.25">
      <c r="A193" s="149">
        <v>6</v>
      </c>
      <c r="B193" s="184">
        <f t="shared" si="45"/>
        <v>45078</v>
      </c>
      <c r="C193" s="205">
        <f t="shared" si="58"/>
        <v>45112</v>
      </c>
      <c r="D193" s="205">
        <f t="shared" si="58"/>
        <v>45131</v>
      </c>
      <c r="E193" s="52" t="s">
        <v>57</v>
      </c>
      <c r="F193" s="149">
        <v>9</v>
      </c>
      <c r="G193" s="186">
        <v>48</v>
      </c>
      <c r="H193" s="187">
        <f t="shared" si="46"/>
        <v>970.91</v>
      </c>
      <c r="I193" s="187">
        <f t="shared" si="57"/>
        <v>919.96</v>
      </c>
      <c r="J193" s="188">
        <f t="shared" si="47"/>
        <v>44158.080000000002</v>
      </c>
      <c r="K193" s="189">
        <f t="shared" si="41"/>
        <v>46603.68</v>
      </c>
      <c r="L193" s="194">
        <f t="shared" si="59"/>
        <v>-2445.5999999999985</v>
      </c>
      <c r="M193" s="191">
        <f t="shared" si="48"/>
        <v>-200.44188180650301</v>
      </c>
      <c r="N193" s="192">
        <f t="shared" si="49"/>
        <v>-2646.0418818065014</v>
      </c>
      <c r="O193" s="191">
        <v>0</v>
      </c>
      <c r="P193" s="191">
        <v>0</v>
      </c>
      <c r="Q193" s="191">
        <v>0</v>
      </c>
      <c r="R193" s="192">
        <f t="shared" si="50"/>
        <v>-2646.0418818065014</v>
      </c>
    </row>
    <row r="194" spans="1:18" x14ac:dyDescent="0.25">
      <c r="A194" s="112">
        <v>7</v>
      </c>
      <c r="B194" s="184">
        <f t="shared" si="45"/>
        <v>45108</v>
      </c>
      <c r="C194" s="205">
        <f t="shared" si="58"/>
        <v>45141</v>
      </c>
      <c r="D194" s="205">
        <f t="shared" si="58"/>
        <v>45162</v>
      </c>
      <c r="E194" s="52" t="s">
        <v>57</v>
      </c>
      <c r="F194" s="149">
        <v>9</v>
      </c>
      <c r="G194" s="186">
        <v>49</v>
      </c>
      <c r="H194" s="187">
        <f t="shared" si="46"/>
        <v>970.91</v>
      </c>
      <c r="I194" s="187">
        <f t="shared" si="57"/>
        <v>919.96</v>
      </c>
      <c r="J194" s="188">
        <f t="shared" si="47"/>
        <v>45078.04</v>
      </c>
      <c r="K194" s="195">
        <f t="shared" si="41"/>
        <v>47574.59</v>
      </c>
      <c r="L194" s="194">
        <f t="shared" si="59"/>
        <v>-2496.5499999999956</v>
      </c>
      <c r="M194" s="191">
        <f t="shared" si="48"/>
        <v>-204.61775434413849</v>
      </c>
      <c r="N194" s="192">
        <f t="shared" si="49"/>
        <v>-2701.1677543441342</v>
      </c>
      <c r="O194" s="191">
        <v>0</v>
      </c>
      <c r="P194" s="191">
        <v>0</v>
      </c>
      <c r="Q194" s="191">
        <v>0</v>
      </c>
      <c r="R194" s="192">
        <f t="shared" si="50"/>
        <v>-2701.1677543441342</v>
      </c>
    </row>
    <row r="195" spans="1:18" x14ac:dyDescent="0.25">
      <c r="A195" s="149">
        <v>8</v>
      </c>
      <c r="B195" s="184">
        <f t="shared" si="45"/>
        <v>45139</v>
      </c>
      <c r="C195" s="205">
        <f t="shared" si="58"/>
        <v>45174</v>
      </c>
      <c r="D195" s="205">
        <f t="shared" si="58"/>
        <v>45194</v>
      </c>
      <c r="E195" s="52" t="s">
        <v>57</v>
      </c>
      <c r="F195" s="149">
        <v>9</v>
      </c>
      <c r="G195" s="186">
        <v>50</v>
      </c>
      <c r="H195" s="187">
        <f t="shared" si="46"/>
        <v>970.91</v>
      </c>
      <c r="I195" s="187">
        <f t="shared" si="57"/>
        <v>919.96</v>
      </c>
      <c r="J195" s="188">
        <f t="shared" si="47"/>
        <v>45998</v>
      </c>
      <c r="K195" s="195">
        <f t="shared" si="41"/>
        <v>48545.5</v>
      </c>
      <c r="L195" s="194">
        <f t="shared" si="59"/>
        <v>-2547.5</v>
      </c>
      <c r="M195" s="191">
        <f t="shared" si="48"/>
        <v>-208.79362688177397</v>
      </c>
      <c r="N195" s="192">
        <f t="shared" si="49"/>
        <v>-2756.2936268817739</v>
      </c>
      <c r="O195" s="191">
        <v>0</v>
      </c>
      <c r="P195" s="191">
        <v>0</v>
      </c>
      <c r="Q195" s="191">
        <v>0</v>
      </c>
      <c r="R195" s="192">
        <f t="shared" si="50"/>
        <v>-2756.2936268817739</v>
      </c>
    </row>
    <row r="196" spans="1:18" x14ac:dyDescent="0.25">
      <c r="A196" s="149">
        <v>9</v>
      </c>
      <c r="B196" s="184">
        <f t="shared" si="45"/>
        <v>45170</v>
      </c>
      <c r="C196" s="205">
        <f t="shared" si="58"/>
        <v>45203</v>
      </c>
      <c r="D196" s="205">
        <f t="shared" si="58"/>
        <v>45223</v>
      </c>
      <c r="E196" s="52" t="s">
        <v>57</v>
      </c>
      <c r="F196" s="149">
        <v>9</v>
      </c>
      <c r="G196" s="186">
        <v>47</v>
      </c>
      <c r="H196" s="187">
        <f t="shared" si="46"/>
        <v>970.91</v>
      </c>
      <c r="I196" s="187">
        <f t="shared" si="57"/>
        <v>919.96</v>
      </c>
      <c r="J196" s="188">
        <f t="shared" si="47"/>
        <v>43238.12</v>
      </c>
      <c r="K196" s="195">
        <f t="shared" si="41"/>
        <v>45632.77</v>
      </c>
      <c r="L196" s="194">
        <f t="shared" si="59"/>
        <v>-2394.6499999999942</v>
      </c>
      <c r="M196" s="191">
        <f t="shared" si="48"/>
        <v>-196.26600926886755</v>
      </c>
      <c r="N196" s="192">
        <f t="shared" si="49"/>
        <v>-2590.9160092688617</v>
      </c>
      <c r="O196" s="191">
        <v>0</v>
      </c>
      <c r="P196" s="191">
        <v>0</v>
      </c>
      <c r="Q196" s="191">
        <v>0</v>
      </c>
      <c r="R196" s="192">
        <f t="shared" si="50"/>
        <v>-2590.9160092688617</v>
      </c>
    </row>
    <row r="197" spans="1:18" x14ac:dyDescent="0.25">
      <c r="A197" s="112">
        <v>10</v>
      </c>
      <c r="B197" s="184">
        <f t="shared" si="45"/>
        <v>45200</v>
      </c>
      <c r="C197" s="205">
        <f t="shared" si="58"/>
        <v>45233</v>
      </c>
      <c r="D197" s="205">
        <f t="shared" si="58"/>
        <v>45254</v>
      </c>
      <c r="E197" s="52" t="s">
        <v>57</v>
      </c>
      <c r="F197" s="149">
        <v>9</v>
      </c>
      <c r="G197" s="186">
        <v>36</v>
      </c>
      <c r="H197" s="187">
        <f t="shared" si="46"/>
        <v>970.91</v>
      </c>
      <c r="I197" s="187">
        <f t="shared" si="57"/>
        <v>919.96</v>
      </c>
      <c r="J197" s="188">
        <f t="shared" si="47"/>
        <v>33118.559999999998</v>
      </c>
      <c r="K197" s="195">
        <f t="shared" si="41"/>
        <v>34952.76</v>
      </c>
      <c r="L197" s="194">
        <f t="shared" si="59"/>
        <v>-1834.2000000000044</v>
      </c>
      <c r="M197" s="191">
        <f t="shared" si="48"/>
        <v>-150.33141135487725</v>
      </c>
      <c r="N197" s="192">
        <f t="shared" si="49"/>
        <v>-1984.5314113548816</v>
      </c>
      <c r="O197" s="191">
        <v>0</v>
      </c>
      <c r="P197" s="191">
        <v>0</v>
      </c>
      <c r="Q197" s="191">
        <v>0</v>
      </c>
      <c r="R197" s="192">
        <f t="shared" si="50"/>
        <v>-1984.5314113548816</v>
      </c>
    </row>
    <row r="198" spans="1:18" x14ac:dyDescent="0.25">
      <c r="A198" s="149">
        <v>11</v>
      </c>
      <c r="B198" s="184">
        <f t="shared" si="45"/>
        <v>45231</v>
      </c>
      <c r="C198" s="205">
        <f t="shared" si="58"/>
        <v>45265</v>
      </c>
      <c r="D198" s="205">
        <f t="shared" si="58"/>
        <v>45285</v>
      </c>
      <c r="E198" s="52" t="s">
        <v>57</v>
      </c>
      <c r="F198" s="149">
        <v>9</v>
      </c>
      <c r="G198" s="186">
        <v>26</v>
      </c>
      <c r="H198" s="187">
        <f t="shared" si="46"/>
        <v>970.91</v>
      </c>
      <c r="I198" s="187">
        <f t="shared" si="57"/>
        <v>919.96</v>
      </c>
      <c r="J198" s="188">
        <f t="shared" si="47"/>
        <v>23918.959999999999</v>
      </c>
      <c r="K198" s="195">
        <f t="shared" ref="K198:K209" si="60">+$G198*H198</f>
        <v>25243.66</v>
      </c>
      <c r="L198" s="194">
        <f t="shared" si="59"/>
        <v>-1324.7000000000007</v>
      </c>
      <c r="M198" s="191">
        <f t="shared" si="48"/>
        <v>-108.57268597852246</v>
      </c>
      <c r="N198" s="192">
        <f t="shared" si="49"/>
        <v>-1433.2726859785232</v>
      </c>
      <c r="O198" s="191">
        <v>0</v>
      </c>
      <c r="P198" s="191">
        <v>0</v>
      </c>
      <c r="Q198" s="191">
        <v>0</v>
      </c>
      <c r="R198" s="192">
        <f t="shared" si="50"/>
        <v>-1433.2726859785232</v>
      </c>
    </row>
    <row r="199" spans="1:18" s="209" customFormat="1" x14ac:dyDescent="0.25">
      <c r="A199" s="149">
        <v>12</v>
      </c>
      <c r="B199" s="207">
        <f t="shared" si="45"/>
        <v>45261</v>
      </c>
      <c r="C199" s="205">
        <f t="shared" si="58"/>
        <v>45294</v>
      </c>
      <c r="D199" s="205">
        <f t="shared" si="58"/>
        <v>45315</v>
      </c>
      <c r="E199" s="208" t="s">
        <v>57</v>
      </c>
      <c r="F199" s="160">
        <v>9</v>
      </c>
      <c r="G199" s="186">
        <v>31</v>
      </c>
      <c r="H199" s="197">
        <f t="shared" si="46"/>
        <v>970.91</v>
      </c>
      <c r="I199" s="197">
        <f t="shared" si="57"/>
        <v>919.96</v>
      </c>
      <c r="J199" s="198">
        <f t="shared" si="47"/>
        <v>28518.760000000002</v>
      </c>
      <c r="K199" s="199">
        <f t="shared" si="60"/>
        <v>30098.21</v>
      </c>
      <c r="L199" s="200">
        <f t="shared" si="59"/>
        <v>-1579.4499999999971</v>
      </c>
      <c r="M199" s="191">
        <f t="shared" si="48"/>
        <v>-129.45204866669985</v>
      </c>
      <c r="N199" s="192">
        <f t="shared" si="49"/>
        <v>-1708.9020486666968</v>
      </c>
      <c r="O199" s="191">
        <v>0</v>
      </c>
      <c r="P199" s="191">
        <v>0</v>
      </c>
      <c r="Q199" s="191">
        <v>0</v>
      </c>
      <c r="R199" s="192">
        <f t="shared" si="50"/>
        <v>-1708.9020486666968</v>
      </c>
    </row>
    <row r="200" spans="1:18" x14ac:dyDescent="0.25">
      <c r="A200" s="112">
        <v>1</v>
      </c>
      <c r="B200" s="184">
        <f t="shared" si="45"/>
        <v>44927</v>
      </c>
      <c r="C200" s="202">
        <f t="shared" si="58"/>
        <v>44960</v>
      </c>
      <c r="D200" s="202">
        <f t="shared" si="58"/>
        <v>44981</v>
      </c>
      <c r="E200" s="185" t="s">
        <v>17</v>
      </c>
      <c r="F200" s="112">
        <v>9</v>
      </c>
      <c r="G200" s="186">
        <v>104</v>
      </c>
      <c r="H200" s="187">
        <f t="shared" si="46"/>
        <v>970.91</v>
      </c>
      <c r="I200" s="187">
        <f t="shared" si="57"/>
        <v>919.96</v>
      </c>
      <c r="J200" s="188">
        <f t="shared" si="47"/>
        <v>95675.839999999997</v>
      </c>
      <c r="K200" s="189">
        <f t="shared" si="60"/>
        <v>100974.64</v>
      </c>
      <c r="L200" s="190">
        <f t="shared" si="59"/>
        <v>-5298.8000000000029</v>
      </c>
      <c r="M200" s="191">
        <f t="shared" si="48"/>
        <v>-434.29074391408983</v>
      </c>
      <c r="N200" s="192">
        <f t="shared" si="49"/>
        <v>-5733.0907439140929</v>
      </c>
      <c r="O200" s="191">
        <v>0</v>
      </c>
      <c r="P200" s="191">
        <v>0</v>
      </c>
      <c r="Q200" s="191">
        <v>0</v>
      </c>
      <c r="R200" s="192">
        <f t="shared" si="50"/>
        <v>-5733.0907439140929</v>
      </c>
    </row>
    <row r="201" spans="1:18" x14ac:dyDescent="0.25">
      <c r="A201" s="149">
        <v>2</v>
      </c>
      <c r="B201" s="184">
        <f t="shared" si="45"/>
        <v>44958</v>
      </c>
      <c r="C201" s="205">
        <f t="shared" si="58"/>
        <v>44988</v>
      </c>
      <c r="D201" s="205">
        <f t="shared" si="58"/>
        <v>45009</v>
      </c>
      <c r="E201" s="193" t="s">
        <v>17</v>
      </c>
      <c r="F201" s="149">
        <v>9</v>
      </c>
      <c r="G201" s="186">
        <v>107</v>
      </c>
      <c r="H201" s="187">
        <f t="shared" si="46"/>
        <v>970.91</v>
      </c>
      <c r="I201" s="187">
        <f t="shared" si="57"/>
        <v>919.96</v>
      </c>
      <c r="J201" s="188">
        <f t="shared" si="47"/>
        <v>98435.72</v>
      </c>
      <c r="K201" s="189">
        <f t="shared" si="60"/>
        <v>103887.37</v>
      </c>
      <c r="L201" s="190">
        <f t="shared" si="59"/>
        <v>-5451.6499999999942</v>
      </c>
      <c r="M201" s="191">
        <f t="shared" si="48"/>
        <v>-446.81836152699628</v>
      </c>
      <c r="N201" s="192">
        <f t="shared" si="49"/>
        <v>-5898.4683615269905</v>
      </c>
      <c r="O201" s="191">
        <v>0</v>
      </c>
      <c r="P201" s="191">
        <v>0</v>
      </c>
      <c r="Q201" s="191">
        <v>0</v>
      </c>
      <c r="R201" s="192">
        <f t="shared" si="50"/>
        <v>-5898.4683615269905</v>
      </c>
    </row>
    <row r="202" spans="1:18" x14ac:dyDescent="0.25">
      <c r="A202" s="149">
        <v>3</v>
      </c>
      <c r="B202" s="184">
        <f t="shared" si="45"/>
        <v>44986</v>
      </c>
      <c r="C202" s="205">
        <f t="shared" si="58"/>
        <v>45021</v>
      </c>
      <c r="D202" s="205">
        <f t="shared" si="58"/>
        <v>45040</v>
      </c>
      <c r="E202" s="193" t="s">
        <v>17</v>
      </c>
      <c r="F202" s="149">
        <v>9</v>
      </c>
      <c r="G202" s="186">
        <v>103</v>
      </c>
      <c r="H202" s="187">
        <f t="shared" si="46"/>
        <v>970.91</v>
      </c>
      <c r="I202" s="187">
        <f t="shared" si="57"/>
        <v>919.96</v>
      </c>
      <c r="J202" s="188">
        <f t="shared" si="47"/>
        <v>94755.88</v>
      </c>
      <c r="K202" s="189">
        <f t="shared" si="60"/>
        <v>100003.73</v>
      </c>
      <c r="L202" s="190">
        <f>+J202-K202</f>
        <v>-5247.8499999999913</v>
      </c>
      <c r="M202" s="191">
        <f t="shared" si="48"/>
        <v>-430.1148713764544</v>
      </c>
      <c r="N202" s="192">
        <f t="shared" si="49"/>
        <v>-5677.9648713764454</v>
      </c>
      <c r="O202" s="191">
        <v>0</v>
      </c>
      <c r="P202" s="191">
        <v>0</v>
      </c>
      <c r="Q202" s="191">
        <v>0</v>
      </c>
      <c r="R202" s="192">
        <f t="shared" si="50"/>
        <v>-5677.9648713764454</v>
      </c>
    </row>
    <row r="203" spans="1:18" x14ac:dyDescent="0.25">
      <c r="A203" s="112">
        <v>4</v>
      </c>
      <c r="B203" s="184">
        <f t="shared" si="45"/>
        <v>45017</v>
      </c>
      <c r="C203" s="205">
        <f t="shared" si="58"/>
        <v>45049</v>
      </c>
      <c r="D203" s="205">
        <f t="shared" si="58"/>
        <v>45070</v>
      </c>
      <c r="E203" s="193" t="s">
        <v>17</v>
      </c>
      <c r="F203" s="149">
        <v>9</v>
      </c>
      <c r="G203" s="186">
        <v>98</v>
      </c>
      <c r="H203" s="187">
        <f t="shared" si="46"/>
        <v>970.91</v>
      </c>
      <c r="I203" s="187">
        <f t="shared" si="57"/>
        <v>919.96</v>
      </c>
      <c r="J203" s="188">
        <f t="shared" si="47"/>
        <v>90156.08</v>
      </c>
      <c r="K203" s="189">
        <f t="shared" si="60"/>
        <v>95149.18</v>
      </c>
      <c r="L203" s="190">
        <f t="shared" ref="L203:L211" si="61">+J203-K203</f>
        <v>-4993.0999999999913</v>
      </c>
      <c r="M203" s="191">
        <f t="shared" si="48"/>
        <v>-409.23550868827698</v>
      </c>
      <c r="N203" s="192">
        <f t="shared" si="49"/>
        <v>-5402.3355086882684</v>
      </c>
      <c r="O203" s="191">
        <v>0</v>
      </c>
      <c r="P203" s="191">
        <v>0</v>
      </c>
      <c r="Q203" s="191">
        <v>0</v>
      </c>
      <c r="R203" s="192">
        <f t="shared" si="50"/>
        <v>-5402.3355086882684</v>
      </c>
    </row>
    <row r="204" spans="1:18" x14ac:dyDescent="0.25">
      <c r="A204" s="149">
        <v>5</v>
      </c>
      <c r="B204" s="184">
        <f t="shared" si="45"/>
        <v>45047</v>
      </c>
      <c r="C204" s="205">
        <f t="shared" si="58"/>
        <v>45082</v>
      </c>
      <c r="D204" s="205">
        <f t="shared" si="58"/>
        <v>45103</v>
      </c>
      <c r="E204" s="52" t="s">
        <v>17</v>
      </c>
      <c r="F204" s="149">
        <v>9</v>
      </c>
      <c r="G204" s="186">
        <v>105</v>
      </c>
      <c r="H204" s="187">
        <f t="shared" si="46"/>
        <v>970.91</v>
      </c>
      <c r="I204" s="187">
        <f t="shared" si="57"/>
        <v>919.96</v>
      </c>
      <c r="J204" s="188">
        <f t="shared" si="47"/>
        <v>96595.8</v>
      </c>
      <c r="K204" s="189">
        <f t="shared" si="60"/>
        <v>101945.55</v>
      </c>
      <c r="L204" s="190">
        <f t="shared" si="61"/>
        <v>-5349.75</v>
      </c>
      <c r="M204" s="191">
        <f t="shared" si="48"/>
        <v>-438.46661645172537</v>
      </c>
      <c r="N204" s="192">
        <f t="shared" si="49"/>
        <v>-5788.2166164517257</v>
      </c>
      <c r="O204" s="191">
        <v>0</v>
      </c>
      <c r="P204" s="191">
        <v>0</v>
      </c>
      <c r="Q204" s="191">
        <v>0</v>
      </c>
      <c r="R204" s="192">
        <f t="shared" si="50"/>
        <v>-5788.2166164517257</v>
      </c>
    </row>
    <row r="205" spans="1:18" x14ac:dyDescent="0.25">
      <c r="A205" s="149">
        <v>6</v>
      </c>
      <c r="B205" s="184">
        <f t="shared" si="45"/>
        <v>45078</v>
      </c>
      <c r="C205" s="205">
        <f t="shared" si="58"/>
        <v>45112</v>
      </c>
      <c r="D205" s="205">
        <f t="shared" si="58"/>
        <v>45131</v>
      </c>
      <c r="E205" s="52" t="s">
        <v>17</v>
      </c>
      <c r="F205" s="149">
        <v>9</v>
      </c>
      <c r="G205" s="186">
        <v>115</v>
      </c>
      <c r="H205" s="187">
        <f t="shared" si="46"/>
        <v>970.91</v>
      </c>
      <c r="I205" s="187">
        <f t="shared" si="57"/>
        <v>919.96</v>
      </c>
      <c r="J205" s="188">
        <f t="shared" si="47"/>
        <v>105795.40000000001</v>
      </c>
      <c r="K205" s="189">
        <f t="shared" si="60"/>
        <v>111654.65</v>
      </c>
      <c r="L205" s="194">
        <f t="shared" si="61"/>
        <v>-5859.2499999999854</v>
      </c>
      <c r="M205" s="191">
        <f t="shared" si="48"/>
        <v>-480.2253418280801</v>
      </c>
      <c r="N205" s="192">
        <f t="shared" si="49"/>
        <v>-6339.4753418280652</v>
      </c>
      <c r="O205" s="191">
        <v>0</v>
      </c>
      <c r="P205" s="191">
        <v>0</v>
      </c>
      <c r="Q205" s="191">
        <v>0</v>
      </c>
      <c r="R205" s="192">
        <f t="shared" si="50"/>
        <v>-6339.4753418280652</v>
      </c>
    </row>
    <row r="206" spans="1:18" x14ac:dyDescent="0.25">
      <c r="A206" s="112">
        <v>7</v>
      </c>
      <c r="B206" s="184">
        <f t="shared" si="45"/>
        <v>45108</v>
      </c>
      <c r="C206" s="205">
        <f t="shared" si="58"/>
        <v>45141</v>
      </c>
      <c r="D206" s="205">
        <f t="shared" si="58"/>
        <v>45162</v>
      </c>
      <c r="E206" s="52" t="s">
        <v>17</v>
      </c>
      <c r="F206" s="149">
        <v>9</v>
      </c>
      <c r="G206" s="186">
        <v>110</v>
      </c>
      <c r="H206" s="187">
        <f t="shared" si="46"/>
        <v>970.91</v>
      </c>
      <c r="I206" s="187">
        <f t="shared" si="57"/>
        <v>919.96</v>
      </c>
      <c r="J206" s="188">
        <f t="shared" si="47"/>
        <v>101195.6</v>
      </c>
      <c r="K206" s="195">
        <f t="shared" si="60"/>
        <v>106800.09999999999</v>
      </c>
      <c r="L206" s="194">
        <f t="shared" si="61"/>
        <v>-5604.4999999999854</v>
      </c>
      <c r="M206" s="191">
        <f t="shared" si="48"/>
        <v>-459.34597913990279</v>
      </c>
      <c r="N206" s="192">
        <f t="shared" si="49"/>
        <v>-6063.8459791398882</v>
      </c>
      <c r="O206" s="191">
        <v>0</v>
      </c>
      <c r="P206" s="191">
        <v>0</v>
      </c>
      <c r="Q206" s="191">
        <v>0</v>
      </c>
      <c r="R206" s="192">
        <f t="shared" si="50"/>
        <v>-6063.8459791398882</v>
      </c>
    </row>
    <row r="207" spans="1:18" x14ac:dyDescent="0.25">
      <c r="A207" s="149">
        <v>8</v>
      </c>
      <c r="B207" s="184">
        <f t="shared" si="45"/>
        <v>45139</v>
      </c>
      <c r="C207" s="205">
        <f t="shared" si="58"/>
        <v>45174</v>
      </c>
      <c r="D207" s="205">
        <f t="shared" si="58"/>
        <v>45194</v>
      </c>
      <c r="E207" s="52" t="s">
        <v>17</v>
      </c>
      <c r="F207" s="149">
        <v>9</v>
      </c>
      <c r="G207" s="186">
        <v>109</v>
      </c>
      <c r="H207" s="187">
        <f t="shared" si="46"/>
        <v>970.91</v>
      </c>
      <c r="I207" s="187">
        <f t="shared" si="57"/>
        <v>919.96</v>
      </c>
      <c r="J207" s="188">
        <f t="shared" si="47"/>
        <v>100275.64</v>
      </c>
      <c r="K207" s="195">
        <f t="shared" si="60"/>
        <v>105829.19</v>
      </c>
      <c r="L207" s="194">
        <f t="shared" si="61"/>
        <v>-5553.5500000000029</v>
      </c>
      <c r="M207" s="191">
        <f t="shared" si="48"/>
        <v>-455.17010660226725</v>
      </c>
      <c r="N207" s="192">
        <f t="shared" si="49"/>
        <v>-6008.7201066022699</v>
      </c>
      <c r="O207" s="191">
        <v>0</v>
      </c>
      <c r="P207" s="191">
        <v>0</v>
      </c>
      <c r="Q207" s="191">
        <v>0</v>
      </c>
      <c r="R207" s="192">
        <f t="shared" si="50"/>
        <v>-6008.7201066022699</v>
      </c>
    </row>
    <row r="208" spans="1:18" x14ac:dyDescent="0.25">
      <c r="A208" s="149">
        <v>9</v>
      </c>
      <c r="B208" s="184">
        <f t="shared" si="45"/>
        <v>45170</v>
      </c>
      <c r="C208" s="205">
        <f t="shared" si="58"/>
        <v>45203</v>
      </c>
      <c r="D208" s="205">
        <f t="shared" si="58"/>
        <v>45223</v>
      </c>
      <c r="E208" s="52" t="s">
        <v>17</v>
      </c>
      <c r="F208" s="149">
        <v>9</v>
      </c>
      <c r="G208" s="186">
        <v>112</v>
      </c>
      <c r="H208" s="187">
        <f t="shared" si="46"/>
        <v>970.91</v>
      </c>
      <c r="I208" s="187">
        <f t="shared" si="57"/>
        <v>919.96</v>
      </c>
      <c r="J208" s="188">
        <f t="shared" si="47"/>
        <v>103035.52</v>
      </c>
      <c r="K208" s="195">
        <f t="shared" si="60"/>
        <v>108741.92</v>
      </c>
      <c r="L208" s="194">
        <f t="shared" si="61"/>
        <v>-5706.3999999999942</v>
      </c>
      <c r="M208" s="191">
        <f t="shared" si="48"/>
        <v>-467.69772421517371</v>
      </c>
      <c r="N208" s="192">
        <f t="shared" si="49"/>
        <v>-6174.0977242151675</v>
      </c>
      <c r="O208" s="191">
        <v>0</v>
      </c>
      <c r="P208" s="191">
        <v>0</v>
      </c>
      <c r="Q208" s="191">
        <v>0</v>
      </c>
      <c r="R208" s="192">
        <f t="shared" si="50"/>
        <v>-6174.0977242151675</v>
      </c>
    </row>
    <row r="209" spans="1:18" x14ac:dyDescent="0.25">
      <c r="A209" s="112">
        <v>10</v>
      </c>
      <c r="B209" s="184">
        <f t="shared" si="45"/>
        <v>45200</v>
      </c>
      <c r="C209" s="205">
        <f t="shared" si="58"/>
        <v>45233</v>
      </c>
      <c r="D209" s="205">
        <f t="shared" si="58"/>
        <v>45254</v>
      </c>
      <c r="E209" s="52" t="s">
        <v>17</v>
      </c>
      <c r="F209" s="149">
        <v>9</v>
      </c>
      <c r="G209" s="186">
        <v>107</v>
      </c>
      <c r="H209" s="187">
        <f t="shared" si="46"/>
        <v>970.91</v>
      </c>
      <c r="I209" s="187">
        <f t="shared" si="57"/>
        <v>919.96</v>
      </c>
      <c r="J209" s="188">
        <f t="shared" si="47"/>
        <v>98435.72</v>
      </c>
      <c r="K209" s="195">
        <f t="shared" si="60"/>
        <v>103887.37</v>
      </c>
      <c r="L209" s="194">
        <f t="shared" si="61"/>
        <v>-5451.6499999999942</v>
      </c>
      <c r="M209" s="191">
        <f t="shared" si="48"/>
        <v>-446.81836152699628</v>
      </c>
      <c r="N209" s="192">
        <f t="shared" si="49"/>
        <v>-5898.4683615269905</v>
      </c>
      <c r="O209" s="191">
        <v>0</v>
      </c>
      <c r="P209" s="191">
        <v>0</v>
      </c>
      <c r="Q209" s="191">
        <v>0</v>
      </c>
      <c r="R209" s="192">
        <f t="shared" si="50"/>
        <v>-5898.4683615269905</v>
      </c>
    </row>
    <row r="210" spans="1:18" x14ac:dyDescent="0.25">
      <c r="A210" s="149">
        <v>11</v>
      </c>
      <c r="B210" s="184">
        <f t="shared" si="45"/>
        <v>45231</v>
      </c>
      <c r="C210" s="205">
        <f t="shared" si="58"/>
        <v>45265</v>
      </c>
      <c r="D210" s="205">
        <f t="shared" si="58"/>
        <v>45285</v>
      </c>
      <c r="E210" s="52" t="s">
        <v>17</v>
      </c>
      <c r="F210" s="149">
        <v>9</v>
      </c>
      <c r="G210" s="186">
        <v>104</v>
      </c>
      <c r="H210" s="187">
        <f t="shared" si="46"/>
        <v>970.91</v>
      </c>
      <c r="I210" s="187">
        <f t="shared" si="57"/>
        <v>919.96</v>
      </c>
      <c r="J210" s="188">
        <f t="shared" si="47"/>
        <v>95675.839999999997</v>
      </c>
      <c r="K210" s="195">
        <f>+$G210*H210</f>
        <v>100974.64</v>
      </c>
      <c r="L210" s="194">
        <f t="shared" si="61"/>
        <v>-5298.8000000000029</v>
      </c>
      <c r="M210" s="191">
        <f t="shared" si="48"/>
        <v>-434.29074391408983</v>
      </c>
      <c r="N210" s="192">
        <f t="shared" si="49"/>
        <v>-5733.0907439140929</v>
      </c>
      <c r="O210" s="191">
        <v>0</v>
      </c>
      <c r="P210" s="191">
        <v>0</v>
      </c>
      <c r="Q210" s="191">
        <v>0</v>
      </c>
      <c r="R210" s="192">
        <f t="shared" si="50"/>
        <v>-5733.0907439140929</v>
      </c>
    </row>
    <row r="211" spans="1:18" s="209" customFormat="1" x14ac:dyDescent="0.25">
      <c r="A211" s="149">
        <v>12</v>
      </c>
      <c r="B211" s="207">
        <f t="shared" si="45"/>
        <v>45261</v>
      </c>
      <c r="C211" s="210">
        <f t="shared" si="58"/>
        <v>45294</v>
      </c>
      <c r="D211" s="210">
        <f t="shared" si="58"/>
        <v>45315</v>
      </c>
      <c r="E211" s="208" t="s">
        <v>17</v>
      </c>
      <c r="F211" s="160">
        <v>9</v>
      </c>
      <c r="G211" s="186">
        <v>101</v>
      </c>
      <c r="H211" s="197">
        <f t="shared" si="46"/>
        <v>970.91</v>
      </c>
      <c r="I211" s="197">
        <f t="shared" si="57"/>
        <v>919.96</v>
      </c>
      <c r="J211" s="198">
        <f t="shared" si="47"/>
        <v>92915.96</v>
      </c>
      <c r="K211" s="199">
        <f>+$G211*H211</f>
        <v>98061.91</v>
      </c>
      <c r="L211" s="200">
        <f t="shared" si="61"/>
        <v>-5145.9499999999971</v>
      </c>
      <c r="M211" s="198">
        <f t="shared" si="48"/>
        <v>-421.76312630118343</v>
      </c>
      <c r="N211" s="192">
        <f t="shared" si="49"/>
        <v>-5567.7131263011806</v>
      </c>
      <c r="O211" s="191">
        <v>0</v>
      </c>
      <c r="P211" s="191">
        <v>0</v>
      </c>
      <c r="Q211" s="191">
        <v>0</v>
      </c>
      <c r="R211" s="192">
        <f t="shared" si="50"/>
        <v>-5567.7131263011806</v>
      </c>
    </row>
    <row r="212" spans="1:18" x14ac:dyDescent="0.25">
      <c r="G212" s="215">
        <f>SUM(G20:G211)</f>
        <v>102178</v>
      </c>
      <c r="H212" s="49"/>
      <c r="I212" s="49"/>
      <c r="J212" s="49">
        <f>SUM(J20:J211)</f>
        <v>93999672.879999921</v>
      </c>
      <c r="K212" s="49">
        <f>SUM(K20:K211)</f>
        <v>99205641.980000019</v>
      </c>
      <c r="L212" s="49">
        <f>SUM(L20:L211)</f>
        <v>-5205969.099999995</v>
      </c>
      <c r="M212" s="49">
        <f>SUM(M20:M211)</f>
        <v>-426682.30415051797</v>
      </c>
      <c r="N212" s="49"/>
      <c r="O212" s="49"/>
      <c r="P212" s="49">
        <f>SUM(P20:P211)</f>
        <v>0</v>
      </c>
      <c r="Q212" s="49"/>
      <c r="R212" s="216">
        <f>SUM(R20:R211)</f>
        <v>-5632651.4041505177</v>
      </c>
    </row>
    <row r="213" spans="1:18" x14ac:dyDescent="0.25">
      <c r="P213" s="49"/>
      <c r="Q213" s="49"/>
    </row>
    <row r="220" spans="1:18" x14ac:dyDescent="0.25">
      <c r="D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</sheetData>
  <mergeCells count="4">
    <mergeCell ref="G2:H2"/>
    <mergeCell ref="G3:H3"/>
    <mergeCell ref="G7:H7"/>
    <mergeCell ref="G8:H8"/>
  </mergeCells>
  <phoneticPr fontId="0" type="noConversion"/>
  <pageMargins left="0.5" right="0.5" top="1.05" bottom="1" header="0.31" footer="0.5"/>
  <pageSetup scale="46" fitToHeight="0" orientation="landscape" cellComments="asDisplayed" r:id="rId1"/>
  <headerFooter alignWithMargins="0">
    <oddHeader>&amp;R&amp;F  &amp;A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lOWMwYjhkNy1iZGI0LTRmZDMtYjYyYS1mNTAzMjdhYWVmY2UiIG9yaWdpbj0iYXV0b1NlbGVjdGVkU3VnZ2VzdGlvbiI+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+Q09SUFxzMTc3MDQwPC9Vc2VyTmFtZT48RGF0ZVRpbWU+NC80LzIwMjIgMzoxMDozNSBQTTwvRGF0ZVRpbWU+PExhYmVsU3RyaW5nPkFFUCBJbnRlcm5hbDwvTGFiZWxTdHJpbmc+PC9pdGVtPjxpdGVtPjxzaXNsIHNpc2xWZXJzaW9uPSIwIiBwb2xpY3k9ImU5YzBiOGQ3LWJkYjQtNGZkMy1iNjJhLWY1MDMyN2FhZWZjZSIgb3JpZ2luPSJ1c2VyU2VsZWN0ZWQiPjxlbGVtZW50IHVpZD0iNTBjMzE4MjQtMDc4MC00OTEwLTg3ZDEtZWFhZmZkMTgyZDQyIiB2YWx1ZT0iIiB4bWxucz0iaHR0cDovL3d3dy5ib2xkb25qYW1lcy5jb20vMjAwOC8wMS9zaWUvaW50ZXJuYWwvbGFiZWwiIC8+PC9zaXNsPjxVc2VyTmFtZT5DT1JQXHMxNzcwNDA8L1VzZXJOYW1lPjxEYXRlVGltZT41LzIzLzIwMjIgNTozNjoxMCBQTTwvRGF0ZVRpbWU+PExhYmVsU3RyaW5nPkFFUCBJbnRlcm5hbDwvTGFiZWxTdHJpbmc+PC9pdGVtPjwvbGFiZWxIaXN0b3J5Pg=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e9c0b8d7-bdb4-4fd3-b62a-f50327aaefce" origin="userSelected">
  <element uid="50c31824-0780-4910-87d1-eaaffd182d42" value=""/>
</sisl>
</file>

<file path=customXml/itemProps1.xml><?xml version="1.0" encoding="utf-8"?>
<ds:datastoreItem xmlns:ds="http://schemas.openxmlformats.org/officeDocument/2006/customXml" ds:itemID="{E3D43697-9F71-49FA-BC17-9790EE502BD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894B3A9A-2754-4AEF-9865-2E0C5AF0A52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Instructions</vt:lpstr>
      <vt:lpstr>2021 NOLC Refund Detail</vt:lpstr>
      <vt:lpstr>Summary</vt:lpstr>
      <vt:lpstr>Pivot</vt:lpstr>
      <vt:lpstr>Transactions</vt:lpstr>
      <vt:lpstr>Transactions!AS1_1999</vt:lpstr>
      <vt:lpstr>Instructions!Print_Area</vt:lpstr>
      <vt:lpstr>Summary!Print_Area</vt:lpstr>
      <vt:lpstr>Transactions!Print_Area</vt:lpstr>
      <vt:lpstr>Pivot!Print_Titles</vt:lpstr>
      <vt:lpstr>Transactions!Print_Titles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Williamson</dc:creator>
  <cp:keywords/>
  <cp:lastModifiedBy>Allyson L Keaton</cp:lastModifiedBy>
  <cp:lastPrinted>2023-05-24T19:48:01Z</cp:lastPrinted>
  <dcterms:created xsi:type="dcterms:W3CDTF">2009-09-04T18:19:13Z</dcterms:created>
  <dcterms:modified xsi:type="dcterms:W3CDTF">2024-05-24T14:12:36Z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4e4d00fa-2934-471b-88ac-5bd852cdb2aa</vt:lpwstr>
  </property>
  <property fmtid="{D5CDD505-2E9C-101B-9397-08002B2CF9AE}" pid="3" name="bjSaver">
    <vt:lpwstr>clRxCTTKA7z930TtRLwKph96GxWYXtbn</vt:lpwstr>
  </property>
  <property fmtid="{D5CDD505-2E9C-101B-9397-08002B2CF9AE}" pid="4" name="bjDocumentSecurityLabel">
    <vt:lpwstr>AEP Internal</vt:lpwstr>
  </property>
  <property fmtid="{D5CDD505-2E9C-101B-9397-08002B2CF9AE}" pid="5" name="Visual Markings Removed">
    <vt:lpwstr>No</vt:lpwstr>
  </property>
  <property fmtid="{D5CDD505-2E9C-101B-9397-08002B2CF9AE}" pid="6" name="bjClsUserRVM">
    <vt:lpwstr>[]</vt:lpwstr>
  </property>
  <property fmtid="{D5CDD505-2E9C-101B-9397-08002B2CF9AE}" pid="7" name="MSIP_Label_69f43042-6bda-44b2-91eb-eca3d3d484f4_SiteId">
    <vt:lpwstr>15f3c881-6b03-4ff6-8559-77bf5177818f</vt:lpwstr>
  </property>
  <property fmtid="{D5CDD505-2E9C-101B-9397-08002B2CF9AE}" pid="8" name="MSIP_Label_69f43042-6bda-44b2-91eb-eca3d3d484f4_Name">
    <vt:lpwstr>AEP Internal</vt:lpwstr>
  </property>
  <property fmtid="{D5CDD505-2E9C-101B-9397-08002B2CF9AE}" pid="9" name="MSIP_Label_69f43042-6bda-44b2-91eb-eca3d3d484f4_Enabled">
    <vt:lpwstr>true</vt:lpwstr>
  </property>
  <property fmtid="{D5CDD505-2E9C-101B-9397-08002B2CF9AE}" pid="10" name="bjLabelHistoryID">
    <vt:lpwstr>{E3D43697-9F71-49FA-BC17-9790EE502BD4}</vt:lpwstr>
  </property>
  <property fmtid="{D5CDD505-2E9C-101B-9397-08002B2CF9AE}" pid="11" name="bjDocumentLabelXML">
    <vt:lpwstr>&lt;?xml version="1.0" encoding="us-ascii"?&gt;&lt;sisl xmlns:xsd="http://www.w3.org/2001/XMLSchema" xmlns:xsi="http://www.w3.org/2001/XMLSchema-instance" sislVersion="0" policy="e9c0b8d7-bdb4-4fd3-b62a-f50327aaefce" origin="userSelected" xmlns="http://www.boldonj</vt:lpwstr>
  </property>
  <property fmtid="{D5CDD505-2E9C-101B-9397-08002B2CF9AE}" pid="12" name="bjDocumentLabelXML-0">
    <vt:lpwstr>ames.com/2008/01/sie/internal/label"&gt;&lt;element uid="50c31824-0780-4910-87d1-eaaffd182d42" value="" /&gt;&lt;/sisl&gt;</vt:lpwstr>
  </property>
</Properties>
</file>